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0a75f9320a1647/Documents/Portfolio/Valuation/"/>
    </mc:Choice>
  </mc:AlternateContent>
  <xr:revisionPtr revIDLastSave="3656" documentId="8_{6D6A42CB-791D-4F20-BFAD-87D818CBDB50}" xr6:coauthVersionLast="47" xr6:coauthVersionMax="47" xr10:uidLastSave="{2CF884BA-4BDE-49DE-BFC2-BD30A9784B8C}"/>
  <bookViews>
    <workbookView xWindow="-195" yWindow="-195" windowWidth="29190" windowHeight="15870" xr2:uid="{8862EA74-C753-455A-9FFC-3E2FBFFD09DD}"/>
  </bookViews>
  <sheets>
    <sheet name="Valuation" sheetId="13" r:id="rId1"/>
    <sheet name="DCF" sheetId="8" r:id="rId2"/>
    <sheet name="LBO" sheetId="10" r:id="rId3"/>
    <sheet name="CompAcq" sheetId="11" r:id="rId4"/>
    <sheet name="WACC" sheetId="9" r:id="rId5"/>
    <sheet name="Financials" sheetId="6" r:id="rId6"/>
    <sheet name="ChartData" sheetId="14" r:id="rId7"/>
  </sheets>
  <definedNames>
    <definedName name="tgr">DCF!$E$17</definedName>
    <definedName name="wacc">DCF!$E$16</definedName>
  </definedNames>
  <calcPr calcId="191029" iterate="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10" l="1"/>
  <c r="M60" i="14" s="1"/>
  <c r="C36" i="9"/>
  <c r="C32" i="9"/>
  <c r="M58" i="14"/>
  <c r="L65" i="14"/>
  <c r="L60" i="14"/>
  <c r="L57" i="14"/>
  <c r="M45" i="14"/>
  <c r="F56" i="14"/>
  <c r="L52" i="14"/>
  <c r="L49" i="14"/>
  <c r="L48" i="14"/>
  <c r="L45" i="14"/>
  <c r="L44" i="14"/>
  <c r="E113" i="10"/>
  <c r="F123" i="8" l="1"/>
  <c r="E15" i="13" s="1"/>
  <c r="F121" i="8"/>
  <c r="G15" i="13" s="1"/>
  <c r="F120" i="8"/>
  <c r="F118" i="8"/>
  <c r="I15" i="13" s="1"/>
  <c r="F95" i="8"/>
  <c r="E14" i="13" s="1"/>
  <c r="F93" i="8"/>
  <c r="G14" i="13" s="1"/>
  <c r="F92" i="8"/>
  <c r="F90" i="8"/>
  <c r="I14" i="13" s="1"/>
  <c r="G112" i="8"/>
  <c r="B47" i="14"/>
  <c r="B46" i="14"/>
  <c r="B45" i="14"/>
  <c r="B44" i="14"/>
  <c r="E35" i="14"/>
  <c r="P8" i="14"/>
  <c r="N8" i="14"/>
  <c r="M8" i="14"/>
  <c r="F162" i="10"/>
  <c r="M5" i="14"/>
  <c r="N4" i="14"/>
  <c r="O8" i="14"/>
  <c r="L8" i="14"/>
  <c r="P7" i="14"/>
  <c r="O7" i="14"/>
  <c r="N7" i="14"/>
  <c r="M7" i="14"/>
  <c r="L7" i="14"/>
  <c r="B8" i="14"/>
  <c r="B7" i="14"/>
  <c r="B6" i="14"/>
  <c r="B5" i="14"/>
  <c r="B4" i="14"/>
  <c r="K12" i="13"/>
  <c r="F122" i="8"/>
  <c r="F15" i="13" s="1"/>
  <c r="F119" i="8"/>
  <c r="H15" i="13" s="1"/>
  <c r="G108" i="8"/>
  <c r="G80" i="8"/>
  <c r="F91" i="8"/>
  <c r="H14" i="13" s="1"/>
  <c r="F94" i="8"/>
  <c r="F14" i="13" s="1"/>
  <c r="P6" i="14"/>
  <c r="O6" i="14"/>
  <c r="N6" i="14"/>
  <c r="P5" i="14"/>
  <c r="O5" i="14"/>
  <c r="N5" i="14"/>
  <c r="P4" i="14"/>
  <c r="O4" i="14"/>
  <c r="M6" i="14"/>
  <c r="M4" i="14"/>
  <c r="L6" i="14"/>
  <c r="L5" i="14"/>
  <c r="L4" i="14"/>
  <c r="F165" i="10"/>
  <c r="E17" i="13" s="1"/>
  <c r="F164" i="10"/>
  <c r="F17" i="13" s="1"/>
  <c r="F163" i="10"/>
  <c r="G17" i="13" s="1"/>
  <c r="F161" i="10"/>
  <c r="H17" i="13" s="1"/>
  <c r="F160" i="10"/>
  <c r="I17" i="13" s="1"/>
  <c r="J10" i="10"/>
  <c r="F27" i="10"/>
  <c r="O14" i="11" l="1"/>
  <c r="O13" i="11"/>
  <c r="O12" i="11"/>
  <c r="O11" i="11"/>
  <c r="O10" i="11"/>
  <c r="M14" i="11"/>
  <c r="M13" i="11"/>
  <c r="M12" i="11"/>
  <c r="M11" i="11"/>
  <c r="M10" i="11"/>
  <c r="M21" i="11" l="1"/>
  <c r="F12" i="13" s="1"/>
  <c r="O12" i="13" s="1"/>
  <c r="O20" i="11"/>
  <c r="G11" i="13" s="1"/>
  <c r="M22" i="11"/>
  <c r="E12" i="13" s="1"/>
  <c r="N12" i="13" s="1"/>
  <c r="O18" i="11"/>
  <c r="H11" i="13" s="1"/>
  <c r="O22" i="11"/>
  <c r="E11" i="13" s="1"/>
  <c r="M19" i="11"/>
  <c r="O19" i="11"/>
  <c r="M20" i="11"/>
  <c r="G12" i="13" s="1"/>
  <c r="P12" i="13" s="1"/>
  <c r="M17" i="11"/>
  <c r="I12" i="13" s="1"/>
  <c r="R12" i="13" s="1"/>
  <c r="O17" i="11"/>
  <c r="I11" i="13" s="1"/>
  <c r="O21" i="11"/>
  <c r="F11" i="13" s="1"/>
  <c r="M18" i="11"/>
  <c r="H12" i="13" s="1"/>
  <c r="Q12" i="13" s="1"/>
  <c r="L91" i="10" l="1"/>
  <c r="M91" i="10" s="1"/>
  <c r="N91" i="10" s="1"/>
  <c r="O91" i="10" s="1"/>
  <c r="P91" i="10" s="1"/>
  <c r="L82" i="10"/>
  <c r="M82" i="10" s="1"/>
  <c r="N82" i="10" s="1"/>
  <c r="O82" i="10" s="1"/>
  <c r="P82" i="10" s="1"/>
  <c r="L71" i="10"/>
  <c r="M71" i="10" s="1"/>
  <c r="N71" i="10" s="1"/>
  <c r="O71" i="10" s="1"/>
  <c r="P71" i="10" s="1"/>
  <c r="L38" i="10"/>
  <c r="M38" i="10" s="1"/>
  <c r="N38" i="10" s="1"/>
  <c r="O38" i="10" s="1"/>
  <c r="P38" i="10" s="1"/>
  <c r="L66" i="10"/>
  <c r="M66" i="10" s="1"/>
  <c r="N66" i="10" s="1"/>
  <c r="O66" i="10" s="1"/>
  <c r="P66" i="10" s="1"/>
  <c r="L40" i="10"/>
  <c r="M40" i="10" s="1"/>
  <c r="N40" i="10" s="1"/>
  <c r="O40" i="10" s="1"/>
  <c r="P40" i="10" s="1"/>
  <c r="T17" i="8"/>
  <c r="J17" i="8"/>
  <c r="C74" i="6"/>
  <c r="I14" i="9"/>
  <c r="C19" i="9" s="1"/>
  <c r="C20" i="9" s="1"/>
  <c r="F14" i="9"/>
  <c r="E14" i="9"/>
  <c r="D14" i="9"/>
  <c r="I13" i="9"/>
  <c r="F13" i="9"/>
  <c r="E13" i="9"/>
  <c r="D13" i="9"/>
  <c r="H11" i="9" l="1"/>
  <c r="G11" i="9"/>
  <c r="J11" i="9" s="1"/>
  <c r="H10" i="9"/>
  <c r="G10" i="9"/>
  <c r="J10" i="9" s="1"/>
  <c r="H9" i="9"/>
  <c r="G9" i="9"/>
  <c r="J9" i="9" s="1"/>
  <c r="H8" i="9"/>
  <c r="G8" i="9"/>
  <c r="T52" i="8"/>
  <c r="T53" i="8" s="1"/>
  <c r="S52" i="8"/>
  <c r="S51" i="8" s="1"/>
  <c r="R52" i="8"/>
  <c r="R51" i="8" s="1"/>
  <c r="Q52" i="8"/>
  <c r="Q53" i="8" s="1"/>
  <c r="P52" i="8"/>
  <c r="T46" i="8"/>
  <c r="S46" i="8"/>
  <c r="R46" i="8"/>
  <c r="Q46" i="8"/>
  <c r="P46" i="8"/>
  <c r="P47" i="8" s="1"/>
  <c r="P51" i="8" l="1"/>
  <c r="P53" i="8"/>
  <c r="T51" i="8"/>
  <c r="T50" i="8"/>
  <c r="I47" i="14" s="1"/>
  <c r="P50" i="8"/>
  <c r="E47" i="14" s="1"/>
  <c r="Q51" i="8"/>
  <c r="Q50" i="8" s="1"/>
  <c r="F47" i="14" s="1"/>
  <c r="R53" i="8"/>
  <c r="R50" i="8" s="1"/>
  <c r="G47" i="14" s="1"/>
  <c r="S53" i="8"/>
  <c r="S50" i="8" s="1"/>
  <c r="H47" i="14" s="1"/>
  <c r="J8" i="9"/>
  <c r="G13" i="9"/>
  <c r="G14" i="9"/>
  <c r="K11" i="9" s="1"/>
  <c r="H13" i="9"/>
  <c r="H14" i="9"/>
  <c r="Q45" i="8"/>
  <c r="P45" i="8"/>
  <c r="P44" i="8" s="1"/>
  <c r="E45" i="14" s="1"/>
  <c r="K9" i="9" l="1"/>
  <c r="K8" i="9"/>
  <c r="J13" i="9"/>
  <c r="J14" i="9"/>
  <c r="K10" i="9"/>
  <c r="Q47" i="8"/>
  <c r="Q44" i="8" s="1"/>
  <c r="F45" i="14" s="1"/>
  <c r="K14" i="9" l="1"/>
  <c r="C23" i="9" s="1"/>
  <c r="C27" i="9" s="1"/>
  <c r="K13" i="9"/>
  <c r="Q41" i="8" l="1"/>
  <c r="R41" i="8" s="1"/>
  <c r="S41" i="8" s="1"/>
  <c r="T41" i="8" s="1"/>
  <c r="E17" i="8"/>
  <c r="D72" i="6"/>
  <c r="D68" i="6"/>
  <c r="B61" i="6"/>
  <c r="B60" i="6"/>
  <c r="B59" i="6"/>
  <c r="B58" i="6"/>
  <c r="B57" i="6"/>
  <c r="B56" i="6"/>
  <c r="C45" i="6"/>
  <c r="C153" i="6"/>
  <c r="D150" i="6" s="1"/>
  <c r="E43" i="6"/>
  <c r="E68" i="6" s="1"/>
  <c r="C104" i="6"/>
  <c r="I116" i="6" s="1"/>
  <c r="B91" i="6"/>
  <c r="B93" i="6"/>
  <c r="B92" i="6"/>
  <c r="B89" i="6"/>
  <c r="B90" i="6"/>
  <c r="F138" i="6"/>
  <c r="F139" i="6" s="1"/>
  <c r="C132" i="6"/>
  <c r="C133" i="6" s="1"/>
  <c r="D146" i="6"/>
  <c r="E146" i="6" s="1"/>
  <c r="F146" i="6" s="1"/>
  <c r="G146" i="6" s="1"/>
  <c r="H146" i="6" s="1"/>
  <c r="I146" i="6" s="1"/>
  <c r="J146" i="6" s="1"/>
  <c r="K146" i="6" s="1"/>
  <c r="D125" i="6"/>
  <c r="E125" i="6" s="1"/>
  <c r="F125" i="6" s="1"/>
  <c r="G125" i="6" s="1"/>
  <c r="H125" i="6" s="1"/>
  <c r="I125" i="6" s="1"/>
  <c r="J125" i="6" s="1"/>
  <c r="K125" i="6" s="1"/>
  <c r="C31" i="6"/>
  <c r="C33" i="6" s="1"/>
  <c r="D97" i="6"/>
  <c r="E97" i="6" s="1"/>
  <c r="F97" i="6" s="1"/>
  <c r="G97" i="6" s="1"/>
  <c r="H97" i="6" s="1"/>
  <c r="I97" i="6" s="1"/>
  <c r="J97" i="6" s="1"/>
  <c r="K97" i="6" s="1"/>
  <c r="K106" i="6" s="1"/>
  <c r="D8" i="6"/>
  <c r="E8" i="6" s="1"/>
  <c r="F8" i="6" s="1"/>
  <c r="D77" i="6"/>
  <c r="E77" i="6" s="1"/>
  <c r="F77" i="6" s="1"/>
  <c r="G77" i="6" s="1"/>
  <c r="H77" i="6" s="1"/>
  <c r="I77" i="6" s="1"/>
  <c r="J77" i="6" s="1"/>
  <c r="K77" i="6" s="1"/>
  <c r="B88" i="6"/>
  <c r="D26" i="6"/>
  <c r="E26" i="6" s="1"/>
  <c r="C134" i="6" l="1"/>
  <c r="C135" i="6" s="1"/>
  <c r="C143" i="6" s="1"/>
  <c r="C40" i="6" s="1"/>
  <c r="C144" i="6"/>
  <c r="G8" i="6"/>
  <c r="E10" i="10"/>
  <c r="K39" i="10" s="1"/>
  <c r="E20" i="8"/>
  <c r="M43" i="8" s="1"/>
  <c r="F20" i="8"/>
  <c r="G20" i="8"/>
  <c r="D52" i="6"/>
  <c r="E52" i="6" s="1"/>
  <c r="F52" i="6" s="1"/>
  <c r="G52" i="6" s="1"/>
  <c r="H52" i="6" s="1"/>
  <c r="I52" i="6" s="1"/>
  <c r="J52" i="6" s="1"/>
  <c r="K52" i="6" s="1"/>
  <c r="F43" i="6"/>
  <c r="F68" i="6" s="1"/>
  <c r="D29" i="6"/>
  <c r="D57" i="6" s="1"/>
  <c r="E28" i="6"/>
  <c r="E29" i="6"/>
  <c r="D28" i="6"/>
  <c r="D56" i="6" s="1"/>
  <c r="F28" i="6"/>
  <c r="F29" i="6"/>
  <c r="G28" i="6"/>
  <c r="G29" i="6"/>
  <c r="J116" i="6"/>
  <c r="D116" i="6"/>
  <c r="C123" i="6"/>
  <c r="D120" i="6" s="1"/>
  <c r="E116" i="6"/>
  <c r="F116" i="6"/>
  <c r="K116" i="6"/>
  <c r="G116" i="6"/>
  <c r="H116" i="6"/>
  <c r="F140" i="6"/>
  <c r="F141" i="6" s="1"/>
  <c r="G106" i="6"/>
  <c r="D106" i="6"/>
  <c r="H106" i="6"/>
  <c r="I106" i="6"/>
  <c r="J106" i="6"/>
  <c r="F106" i="6"/>
  <c r="E106" i="6"/>
  <c r="D100" i="6"/>
  <c r="D64" i="6" s="1"/>
  <c r="E100" i="6"/>
  <c r="F100" i="6"/>
  <c r="G100" i="6"/>
  <c r="G9" i="6"/>
  <c r="D9" i="6"/>
  <c r="F9" i="6"/>
  <c r="E11" i="10" s="1"/>
  <c r="K42" i="10" s="1"/>
  <c r="K43" i="10" s="1"/>
  <c r="L43" i="10" s="1"/>
  <c r="D12" i="6"/>
  <c r="F12" i="6"/>
  <c r="G12" i="6"/>
  <c r="E9" i="6"/>
  <c r="E12" i="6"/>
  <c r="D7" i="6"/>
  <c r="E19" i="8" s="1"/>
  <c r="F19" i="8" s="1"/>
  <c r="G19" i="8" s="1"/>
  <c r="E7" i="6"/>
  <c r="F26" i="6"/>
  <c r="M43" i="10" l="1"/>
  <c r="L39" i="10"/>
  <c r="M39" i="10" s="1"/>
  <c r="N39" i="10" s="1"/>
  <c r="O39" i="10" s="1"/>
  <c r="P39" i="10" s="1"/>
  <c r="K45" i="10"/>
  <c r="H8" i="6"/>
  <c r="H20" i="8"/>
  <c r="H21" i="8" s="1"/>
  <c r="E14" i="10"/>
  <c r="K75" i="10" s="1"/>
  <c r="K76" i="10" s="1"/>
  <c r="L76" i="10" s="1"/>
  <c r="E57" i="6"/>
  <c r="F21" i="8"/>
  <c r="O43" i="8"/>
  <c r="G21" i="8"/>
  <c r="E29" i="8"/>
  <c r="F29" i="8" s="1"/>
  <c r="G29" i="8" s="1"/>
  <c r="H29" i="8" s="1"/>
  <c r="I29" i="8" s="1"/>
  <c r="J29" i="8" s="1"/>
  <c r="K29" i="8" s="1"/>
  <c r="L29" i="8" s="1"/>
  <c r="N43" i="8"/>
  <c r="N44" i="8" s="1"/>
  <c r="D65" i="6"/>
  <c r="E33" i="8"/>
  <c r="H19" i="8"/>
  <c r="I19" i="8" s="1"/>
  <c r="J19" i="8" s="1"/>
  <c r="K19" i="8" s="1"/>
  <c r="L19" i="8" s="1"/>
  <c r="G56" i="6"/>
  <c r="F57" i="6"/>
  <c r="F56" i="6"/>
  <c r="E121" i="6"/>
  <c r="E64" i="6"/>
  <c r="E56" i="6"/>
  <c r="F121" i="6"/>
  <c r="F64" i="6"/>
  <c r="E15" i="10" s="1"/>
  <c r="K79" i="10" s="1"/>
  <c r="K80" i="10" s="1"/>
  <c r="L80" i="10" s="1"/>
  <c r="G121" i="6"/>
  <c r="G64" i="6"/>
  <c r="G57" i="6"/>
  <c r="G43" i="6"/>
  <c r="G68" i="6" s="1"/>
  <c r="D10" i="6"/>
  <c r="D11" i="6" s="1"/>
  <c r="D37" i="6"/>
  <c r="D61" i="6" s="1"/>
  <c r="D36" i="6"/>
  <c r="D60" i="6" s="1"/>
  <c r="D35" i="6"/>
  <c r="D59" i="6" s="1"/>
  <c r="D30" i="6"/>
  <c r="G10" i="6"/>
  <c r="G11" i="6" s="1"/>
  <c r="G30" i="6"/>
  <c r="G37" i="6"/>
  <c r="G36" i="6"/>
  <c r="G35" i="6"/>
  <c r="F10" i="6"/>
  <c r="F11" i="6" s="1"/>
  <c r="F35" i="6"/>
  <c r="F30" i="6"/>
  <c r="F36" i="6"/>
  <c r="F37" i="6"/>
  <c r="E10" i="6"/>
  <c r="E11" i="6" s="1"/>
  <c r="E37" i="6"/>
  <c r="E36" i="6"/>
  <c r="E35" i="6"/>
  <c r="E30" i="6"/>
  <c r="G138" i="6"/>
  <c r="G139" i="6" s="1"/>
  <c r="D132" i="6"/>
  <c r="D133" i="6" s="1"/>
  <c r="D144" i="6" s="1"/>
  <c r="D16" i="6" s="1"/>
  <c r="D121" i="6"/>
  <c r="F7" i="6"/>
  <c r="G26" i="6"/>
  <c r="H26" i="6" s="1"/>
  <c r="I26" i="6" s="1"/>
  <c r="J26" i="6" s="1"/>
  <c r="K26" i="6" s="1"/>
  <c r="P43" i="8" l="1"/>
  <c r="E44" i="14" s="1"/>
  <c r="C44" i="14"/>
  <c r="O44" i="8"/>
  <c r="C45" i="14" s="1"/>
  <c r="L75" i="10"/>
  <c r="L77" i="10" s="1"/>
  <c r="L86" i="10" s="1"/>
  <c r="M76" i="10"/>
  <c r="I8" i="6"/>
  <c r="H29" i="6"/>
  <c r="H57" i="6" s="1"/>
  <c r="I20" i="8"/>
  <c r="I21" i="8" s="1"/>
  <c r="H12" i="6"/>
  <c r="H28" i="6"/>
  <c r="H56" i="6" s="1"/>
  <c r="H100" i="6"/>
  <c r="H9" i="6"/>
  <c r="K46" i="10"/>
  <c r="E60" i="6"/>
  <c r="G60" i="6"/>
  <c r="L42" i="10"/>
  <c r="L45" i="10" s="1"/>
  <c r="L79" i="10"/>
  <c r="L85" i="10" s="1"/>
  <c r="M80" i="10"/>
  <c r="N43" i="10"/>
  <c r="M42" i="10"/>
  <c r="M45" i="10" s="1"/>
  <c r="M46" i="10" s="1"/>
  <c r="M40" i="8"/>
  <c r="N40" i="8" s="1"/>
  <c r="O40" i="8" s="1"/>
  <c r="F65" i="6"/>
  <c r="G33" i="8"/>
  <c r="M63" i="8"/>
  <c r="M64" i="8" s="1"/>
  <c r="E34" i="8"/>
  <c r="E65" i="6"/>
  <c r="F33" i="8"/>
  <c r="F59" i="6"/>
  <c r="G65" i="6"/>
  <c r="H33" i="8"/>
  <c r="G38" i="6"/>
  <c r="G59" i="6"/>
  <c r="E58" i="6"/>
  <c r="E61" i="6"/>
  <c r="G61" i="6"/>
  <c r="D58" i="6"/>
  <c r="E36" i="8" s="1"/>
  <c r="F61" i="6"/>
  <c r="G58" i="6"/>
  <c r="E38" i="6"/>
  <c r="E59" i="6"/>
  <c r="F36" i="8" s="1"/>
  <c r="F60" i="6"/>
  <c r="F58" i="6"/>
  <c r="G36" i="8" s="1"/>
  <c r="H43" i="6"/>
  <c r="H68" i="6" s="1"/>
  <c r="F38" i="6"/>
  <c r="D38" i="6"/>
  <c r="G140" i="6"/>
  <c r="G141" i="6" s="1"/>
  <c r="D134" i="6"/>
  <c r="D135" i="6" s="1"/>
  <c r="D143" i="6" s="1"/>
  <c r="D40" i="6" s="1"/>
  <c r="D67" i="6" s="1"/>
  <c r="G7" i="6"/>
  <c r="Q43" i="8" l="1"/>
  <c r="F44" i="14" s="1"/>
  <c r="P49" i="8"/>
  <c r="E46" i="14" s="1"/>
  <c r="P40" i="8"/>
  <c r="C43" i="14"/>
  <c r="M79" i="10"/>
  <c r="M85" i="10" s="1"/>
  <c r="N80" i="10"/>
  <c r="H121" i="6"/>
  <c r="H64" i="6"/>
  <c r="L46" i="10"/>
  <c r="H36" i="8"/>
  <c r="H38" i="8" s="1"/>
  <c r="D41" i="6"/>
  <c r="J8" i="6"/>
  <c r="I28" i="6"/>
  <c r="I56" i="6" s="1"/>
  <c r="I29" i="6"/>
  <c r="I57" i="6" s="1"/>
  <c r="I100" i="6"/>
  <c r="I9" i="6"/>
  <c r="J20" i="8"/>
  <c r="J21" i="8" s="1"/>
  <c r="I12" i="6"/>
  <c r="M75" i="10"/>
  <c r="M77" i="10" s="1"/>
  <c r="M86" i="10" s="1"/>
  <c r="N76" i="10"/>
  <c r="N42" i="10"/>
  <c r="N45" i="10" s="1"/>
  <c r="O43" i="10"/>
  <c r="H36" i="6"/>
  <c r="H60" i="6" s="1"/>
  <c r="H10" i="6"/>
  <c r="H11" i="6" s="1"/>
  <c r="H30" i="6"/>
  <c r="H58" i="6" s="1"/>
  <c r="H37" i="6"/>
  <c r="H61" i="6" s="1"/>
  <c r="H35" i="6"/>
  <c r="O66" i="8"/>
  <c r="O67" i="8" s="1"/>
  <c r="G38" i="8"/>
  <c r="G37" i="8"/>
  <c r="N66" i="8"/>
  <c r="N67" i="8" s="1"/>
  <c r="F38" i="8"/>
  <c r="F37" i="8"/>
  <c r="P63" i="8"/>
  <c r="H34" i="8"/>
  <c r="N63" i="8"/>
  <c r="N64" i="8" s="1"/>
  <c r="F34" i="8"/>
  <c r="O63" i="8"/>
  <c r="O64" i="8" s="1"/>
  <c r="G34" i="8"/>
  <c r="M66" i="8"/>
  <c r="M67" i="8" s="1"/>
  <c r="E37" i="8"/>
  <c r="I43" i="6"/>
  <c r="I68" i="6" s="1"/>
  <c r="E132" i="6"/>
  <c r="H138" i="6"/>
  <c r="H7" i="6"/>
  <c r="P64" i="8" l="1"/>
  <c r="E52" i="14"/>
  <c r="Q40" i="8"/>
  <c r="E43" i="14"/>
  <c r="H37" i="8"/>
  <c r="P43" i="10"/>
  <c r="P42" i="10" s="1"/>
  <c r="P45" i="10" s="1"/>
  <c r="O42" i="10"/>
  <c r="O45" i="10" s="1"/>
  <c r="I30" i="6"/>
  <c r="I58" i="6" s="1"/>
  <c r="I37" i="6"/>
  <c r="I61" i="6" s="1"/>
  <c r="I35" i="6"/>
  <c r="I36" i="6"/>
  <c r="I60" i="6" s="1"/>
  <c r="O76" i="10"/>
  <c r="N75" i="10"/>
  <c r="N77" i="10" s="1"/>
  <c r="N86" i="10" s="1"/>
  <c r="H65" i="6"/>
  <c r="I33" i="8"/>
  <c r="N46" i="10"/>
  <c r="P66" i="8"/>
  <c r="H38" i="6"/>
  <c r="H59" i="6"/>
  <c r="I36" i="8" s="1"/>
  <c r="K8" i="6"/>
  <c r="J28" i="6"/>
  <c r="J56" i="6" s="1"/>
  <c r="J100" i="6"/>
  <c r="J9" i="6"/>
  <c r="J29" i="6"/>
  <c r="J57" i="6" s="1"/>
  <c r="K20" i="8"/>
  <c r="K21" i="8" s="1"/>
  <c r="J12" i="6"/>
  <c r="J10" i="6"/>
  <c r="J11" i="6" s="1"/>
  <c r="I121" i="6"/>
  <c r="I64" i="6"/>
  <c r="I10" i="6"/>
  <c r="I11" i="6" s="1"/>
  <c r="O80" i="10"/>
  <c r="N79" i="10"/>
  <c r="N85" i="10" s="1"/>
  <c r="R47" i="8"/>
  <c r="R45" i="8"/>
  <c r="J43" i="6"/>
  <c r="J68" i="6" s="1"/>
  <c r="H139" i="6"/>
  <c r="H144" i="6" s="1"/>
  <c r="E133" i="6"/>
  <c r="E144" i="6" s="1"/>
  <c r="E16" i="6" s="1"/>
  <c r="I7" i="6"/>
  <c r="R40" i="8" l="1"/>
  <c r="F43" i="14"/>
  <c r="P67" i="8"/>
  <c r="E53" i="14"/>
  <c r="R44" i="8"/>
  <c r="Q66" i="8"/>
  <c r="I38" i="8"/>
  <c r="I37" i="8"/>
  <c r="P76" i="10"/>
  <c r="P75" i="10" s="1"/>
  <c r="O75" i="10"/>
  <c r="O77" i="10" s="1"/>
  <c r="O86" i="10" s="1"/>
  <c r="I59" i="6"/>
  <c r="J36" i="8" s="1"/>
  <c r="I38" i="6"/>
  <c r="O79" i="10"/>
  <c r="O85" i="10" s="1"/>
  <c r="P80" i="10"/>
  <c r="P79" i="10" s="1"/>
  <c r="P85" i="10" s="1"/>
  <c r="J37" i="6"/>
  <c r="J61" i="6" s="1"/>
  <c r="J36" i="6"/>
  <c r="J60" i="6" s="1"/>
  <c r="J35" i="6"/>
  <c r="J30" i="6"/>
  <c r="J58" i="6" s="1"/>
  <c r="J64" i="6"/>
  <c r="J121" i="6"/>
  <c r="O46" i="10"/>
  <c r="J33" i="8"/>
  <c r="I65" i="6"/>
  <c r="P46" i="10"/>
  <c r="I34" i="8"/>
  <c r="Q63" i="8"/>
  <c r="K12" i="6"/>
  <c r="K100" i="6"/>
  <c r="C107" i="6" s="1" a="1"/>
  <c r="K29" i="6"/>
  <c r="K57" i="6" s="1"/>
  <c r="K28" i="6"/>
  <c r="K56" i="6" s="1"/>
  <c r="K9" i="6"/>
  <c r="L20" i="8"/>
  <c r="L21" i="8" s="1"/>
  <c r="K10" i="6"/>
  <c r="K11" i="6" s="1"/>
  <c r="S47" i="8"/>
  <c r="S45" i="8"/>
  <c r="K43" i="6"/>
  <c r="K68" i="6" s="1"/>
  <c r="E134" i="6"/>
  <c r="E135" i="6" s="1"/>
  <c r="E143" i="6" s="1"/>
  <c r="E40" i="6" s="1"/>
  <c r="H16" i="6"/>
  <c r="H140" i="6"/>
  <c r="H141" i="6" s="1"/>
  <c r="H143" i="6" s="1"/>
  <c r="J7" i="6"/>
  <c r="K7" i="6"/>
  <c r="Q67" i="8" l="1"/>
  <c r="F53" i="14"/>
  <c r="Q64" i="8"/>
  <c r="F52" i="14"/>
  <c r="S40" i="8"/>
  <c r="G43" i="14"/>
  <c r="R43" i="8"/>
  <c r="G44" i="14" s="1"/>
  <c r="G45" i="14"/>
  <c r="S44" i="8"/>
  <c r="J65" i="6"/>
  <c r="K33" i="8"/>
  <c r="R66" i="8"/>
  <c r="G53" i="14" s="1"/>
  <c r="J38" i="8"/>
  <c r="J37" i="8"/>
  <c r="J59" i="6"/>
  <c r="K36" i="8" s="1"/>
  <c r="J38" i="6"/>
  <c r="P77" i="10"/>
  <c r="P86" i="10" s="1"/>
  <c r="K35" i="6"/>
  <c r="K37" i="6"/>
  <c r="K61" i="6" s="1"/>
  <c r="K30" i="6"/>
  <c r="K58" i="6" s="1"/>
  <c r="K36" i="6"/>
  <c r="K60" i="6" s="1"/>
  <c r="J34" i="8"/>
  <c r="R63" i="8"/>
  <c r="G52" i="14" s="1"/>
  <c r="K121" i="6"/>
  <c r="K64" i="6"/>
  <c r="K112" i="6"/>
  <c r="F109" i="6"/>
  <c r="J111" i="6"/>
  <c r="I111" i="6"/>
  <c r="H109" i="6"/>
  <c r="K111" i="6"/>
  <c r="J110" i="6"/>
  <c r="H108" i="6"/>
  <c r="J113" i="6"/>
  <c r="J112" i="6"/>
  <c r="J108" i="6"/>
  <c r="K114" i="6"/>
  <c r="E108" i="6"/>
  <c r="F108" i="6"/>
  <c r="K110" i="6"/>
  <c r="I109" i="6"/>
  <c r="G108" i="6"/>
  <c r="H110" i="6"/>
  <c r="G109" i="6"/>
  <c r="I112" i="6"/>
  <c r="I110" i="6"/>
  <c r="J109" i="6"/>
  <c r="K108" i="6"/>
  <c r="I108" i="6"/>
  <c r="C107" i="6"/>
  <c r="G110" i="6"/>
  <c r="H111" i="6"/>
  <c r="K109" i="6"/>
  <c r="K113" i="6"/>
  <c r="E67" i="6"/>
  <c r="E41" i="6"/>
  <c r="T47" i="8"/>
  <c r="T45" i="8"/>
  <c r="I138" i="6"/>
  <c r="F132" i="6"/>
  <c r="H40" i="6"/>
  <c r="T40" i="8" l="1"/>
  <c r="I43" i="14" s="1"/>
  <c r="H43" i="14"/>
  <c r="R64" i="8"/>
  <c r="R67" i="8"/>
  <c r="S43" i="8"/>
  <c r="H44" i="14" s="1"/>
  <c r="H45" i="14"/>
  <c r="T44" i="8"/>
  <c r="K37" i="8"/>
  <c r="S66" i="8"/>
  <c r="H53" i="14" s="1"/>
  <c r="K38" i="8"/>
  <c r="D107" i="6"/>
  <c r="D117" i="6" s="1"/>
  <c r="D118" i="6" s="1"/>
  <c r="F107" i="6"/>
  <c r="F117" i="6" s="1"/>
  <c r="F118" i="6" s="1"/>
  <c r="I107" i="6"/>
  <c r="I117" i="6" s="1"/>
  <c r="I118" i="6" s="1"/>
  <c r="E107" i="6"/>
  <c r="E117" i="6" s="1"/>
  <c r="E118" i="6" s="1"/>
  <c r="H107" i="6"/>
  <c r="H117" i="6" s="1"/>
  <c r="H118" i="6" s="1"/>
  <c r="G107" i="6"/>
  <c r="G117" i="6" s="1"/>
  <c r="G118" i="6" s="1"/>
  <c r="J107" i="6"/>
  <c r="J117" i="6" s="1"/>
  <c r="J118" i="6" s="1"/>
  <c r="K107" i="6"/>
  <c r="K117" i="6" s="1"/>
  <c r="K118" i="6" s="1"/>
  <c r="K59" i="6"/>
  <c r="L36" i="8" s="1"/>
  <c r="K38" i="6"/>
  <c r="K34" i="8"/>
  <c r="S63" i="8"/>
  <c r="H52" i="14" s="1"/>
  <c r="K65" i="6"/>
  <c r="L33" i="8"/>
  <c r="H41" i="6"/>
  <c r="F133" i="6"/>
  <c r="F144" i="6" s="1"/>
  <c r="F16" i="6" s="1"/>
  <c r="I139" i="6"/>
  <c r="I144" i="6" s="1"/>
  <c r="S67" i="8" l="1"/>
  <c r="S64" i="8"/>
  <c r="T43" i="8"/>
  <c r="I44" i="14" s="1"/>
  <c r="I45" i="14"/>
  <c r="E122" i="6"/>
  <c r="E13" i="6"/>
  <c r="I122" i="6"/>
  <c r="I13" i="6"/>
  <c r="D13" i="6"/>
  <c r="D122" i="6"/>
  <c r="D123" i="6" s="1"/>
  <c r="K13" i="6"/>
  <c r="K122" i="6"/>
  <c r="T66" i="8"/>
  <c r="I53" i="14" s="1"/>
  <c r="L38" i="8"/>
  <c r="L37" i="8"/>
  <c r="F13" i="6"/>
  <c r="E12" i="10" s="1"/>
  <c r="F122" i="6"/>
  <c r="G13" i="6"/>
  <c r="G122" i="6"/>
  <c r="J122" i="6"/>
  <c r="J13" i="6"/>
  <c r="T63" i="8"/>
  <c r="I52" i="14" s="1"/>
  <c r="L34" i="8"/>
  <c r="H13" i="6"/>
  <c r="H122" i="6"/>
  <c r="I140" i="6"/>
  <c r="I141" i="6" s="1"/>
  <c r="I143" i="6" s="1"/>
  <c r="F134" i="6"/>
  <c r="F135" i="6" s="1"/>
  <c r="F143" i="6" s="1"/>
  <c r="F40" i="6" s="1"/>
  <c r="I16" i="6"/>
  <c r="T64" i="8" l="1"/>
  <c r="T67" i="8"/>
  <c r="J30" i="8"/>
  <c r="I54" i="6"/>
  <c r="I14" i="6"/>
  <c r="I17" i="6" s="1"/>
  <c r="I18" i="6" s="1"/>
  <c r="I30" i="8"/>
  <c r="H14" i="6"/>
  <c r="H54" i="6"/>
  <c r="L30" i="8"/>
  <c r="K14" i="6"/>
  <c r="K54" i="6"/>
  <c r="H30" i="8"/>
  <c r="G14" i="6"/>
  <c r="G54" i="6"/>
  <c r="E30" i="8"/>
  <c r="D14" i="6"/>
  <c r="D54" i="6"/>
  <c r="F30" i="8"/>
  <c r="E14" i="6"/>
  <c r="E54" i="6"/>
  <c r="J12" i="10"/>
  <c r="F67" i="6"/>
  <c r="F41" i="6"/>
  <c r="E120" i="6"/>
  <c r="E123" i="6" s="1"/>
  <c r="D32" i="6"/>
  <c r="G30" i="8"/>
  <c r="E13" i="10"/>
  <c r="K54" i="10" s="1"/>
  <c r="K48" i="10"/>
  <c r="F14" i="6"/>
  <c r="F54" i="6"/>
  <c r="G107" i="8" s="1"/>
  <c r="K30" i="8"/>
  <c r="J14" i="6"/>
  <c r="J54" i="6"/>
  <c r="G132" i="6"/>
  <c r="I40" i="6"/>
  <c r="J138" i="6"/>
  <c r="J27" i="8" l="1"/>
  <c r="J26" i="8"/>
  <c r="N25" i="10"/>
  <c r="I19" i="6"/>
  <c r="N60" i="8"/>
  <c r="N61" i="8" s="1"/>
  <c r="F31" i="8"/>
  <c r="I31" i="8"/>
  <c r="Q60" i="8"/>
  <c r="F120" i="6"/>
  <c r="F123" i="6" s="1"/>
  <c r="E32" i="6"/>
  <c r="G15" i="6"/>
  <c r="H23" i="8"/>
  <c r="H24" i="8" s="1"/>
  <c r="I15" i="6"/>
  <c r="J23" i="8"/>
  <c r="J24" i="8" s="1"/>
  <c r="K15" i="6"/>
  <c r="L23" i="8"/>
  <c r="T60" i="8"/>
  <c r="L31" i="8"/>
  <c r="E31" i="8"/>
  <c r="M60" i="8"/>
  <c r="M61" i="8" s="1"/>
  <c r="K49" i="10"/>
  <c r="L49" i="10" s="1"/>
  <c r="K51" i="10"/>
  <c r="K72" i="10"/>
  <c r="K55" i="10"/>
  <c r="P60" i="8"/>
  <c r="H31" i="8"/>
  <c r="K23" i="8"/>
  <c r="K24" i="8" s="1"/>
  <c r="J15" i="6"/>
  <c r="S60" i="8"/>
  <c r="K31" i="8"/>
  <c r="D17" i="6"/>
  <c r="E23" i="8"/>
  <c r="D15" i="6"/>
  <c r="H15" i="6"/>
  <c r="H17" i="6"/>
  <c r="I23" i="8"/>
  <c r="I24" i="8" s="1"/>
  <c r="F17" i="6"/>
  <c r="G23" i="8"/>
  <c r="F15" i="6"/>
  <c r="O60" i="8"/>
  <c r="O61" i="8" s="1"/>
  <c r="G31" i="8"/>
  <c r="E17" i="6"/>
  <c r="E15" i="6"/>
  <c r="F23" i="8"/>
  <c r="R60" i="8"/>
  <c r="J31" i="8"/>
  <c r="I53" i="6"/>
  <c r="I62" i="6" s="1"/>
  <c r="I22" i="6"/>
  <c r="I41" i="6"/>
  <c r="I67" i="6"/>
  <c r="J139" i="6"/>
  <c r="J144" i="6" s="1"/>
  <c r="G133" i="6"/>
  <c r="G144" i="6" s="1"/>
  <c r="G16" i="6" s="1"/>
  <c r="G17" i="6" s="1"/>
  <c r="L24" i="8" l="1"/>
  <c r="G111" i="8"/>
  <c r="G103" i="8" s="1"/>
  <c r="Q61" i="8"/>
  <c r="F51" i="14"/>
  <c r="R61" i="8"/>
  <c r="G51" i="14"/>
  <c r="S61" i="8"/>
  <c r="H51" i="14"/>
  <c r="P61" i="8"/>
  <c r="E51" i="14"/>
  <c r="T61" i="8"/>
  <c r="I51" i="14"/>
  <c r="G18" i="6"/>
  <c r="G19" i="6" s="1"/>
  <c r="O49" i="8"/>
  <c r="G24" i="8"/>
  <c r="F18" i="6"/>
  <c r="F19" i="6" s="1"/>
  <c r="G120" i="6"/>
  <c r="G123" i="6" s="1"/>
  <c r="F32" i="6"/>
  <c r="K52" i="10"/>
  <c r="K57" i="10"/>
  <c r="H18" i="6"/>
  <c r="H19" i="6" s="1"/>
  <c r="E18" i="6"/>
  <c r="E19" i="6" s="1"/>
  <c r="M49" i="10"/>
  <c r="L48" i="10"/>
  <c r="L51" i="10" s="1"/>
  <c r="D18" i="6"/>
  <c r="D19" i="6" s="1"/>
  <c r="N49" i="8"/>
  <c r="N50" i="8" s="1"/>
  <c r="F24" i="8"/>
  <c r="E24" i="8"/>
  <c r="M49" i="8"/>
  <c r="M50" i="8" s="1"/>
  <c r="L55" i="10"/>
  <c r="K73" i="10"/>
  <c r="I151" i="6"/>
  <c r="I152" i="6" s="1"/>
  <c r="I69" i="6" s="1"/>
  <c r="I70" i="6" s="1"/>
  <c r="I73" i="6" s="1"/>
  <c r="I20" i="6"/>
  <c r="G134" i="6"/>
  <c r="G135" i="6" s="1"/>
  <c r="J16" i="6"/>
  <c r="J17" i="6" s="1"/>
  <c r="J18" i="6" s="1"/>
  <c r="J140" i="6"/>
  <c r="J141" i="6" s="1"/>
  <c r="J143" i="6" s="1"/>
  <c r="O50" i="8" l="1"/>
  <c r="C47" i="14" s="1"/>
  <c r="C46" i="14"/>
  <c r="J40" i="6"/>
  <c r="G143" i="6"/>
  <c r="G40" i="6" s="1"/>
  <c r="N49" i="10"/>
  <c r="M48" i="10"/>
  <c r="M51" i="10" s="1"/>
  <c r="E151" i="6"/>
  <c r="E152" i="6" s="1"/>
  <c r="E69" i="6" s="1"/>
  <c r="E70" i="6" s="1"/>
  <c r="E20" i="6"/>
  <c r="E53" i="6"/>
  <c r="E62" i="6" s="1"/>
  <c r="E22" i="6"/>
  <c r="F26" i="8"/>
  <c r="N55" i="8" s="1"/>
  <c r="F27" i="8"/>
  <c r="N56" i="8" s="1"/>
  <c r="L73" i="10"/>
  <c r="L54" i="10"/>
  <c r="L72" i="10" s="1"/>
  <c r="L84" i="10" s="1"/>
  <c r="M55" i="10"/>
  <c r="H120" i="6"/>
  <c r="H123" i="6" s="1"/>
  <c r="G32" i="6"/>
  <c r="F151" i="6"/>
  <c r="F152" i="6" s="1"/>
  <c r="F69" i="6" s="1"/>
  <c r="F70" i="6" s="1"/>
  <c r="F53" i="6"/>
  <c r="F62" i="6" s="1"/>
  <c r="F20" i="6"/>
  <c r="F22" i="6"/>
  <c r="G27" i="8"/>
  <c r="O56" i="8" s="1"/>
  <c r="P56" i="8" s="1"/>
  <c r="G26" i="8"/>
  <c r="O55" i="8" s="1"/>
  <c r="I26" i="8"/>
  <c r="I27" i="8"/>
  <c r="K58" i="10"/>
  <c r="J9" i="10"/>
  <c r="G53" i="6"/>
  <c r="G62" i="6" s="1"/>
  <c r="G22" i="6"/>
  <c r="G20" i="6"/>
  <c r="G151" i="6"/>
  <c r="G152" i="6" s="1"/>
  <c r="G69" i="6" s="1"/>
  <c r="H53" i="6"/>
  <c r="H62" i="6" s="1"/>
  <c r="H22" i="6"/>
  <c r="H151" i="6"/>
  <c r="H152" i="6" s="1"/>
  <c r="H69" i="6" s="1"/>
  <c r="H20" i="6"/>
  <c r="D151" i="6"/>
  <c r="D22" i="6"/>
  <c r="D20" i="6"/>
  <c r="D53" i="6"/>
  <c r="D62" i="6" s="1"/>
  <c r="E27" i="8"/>
  <c r="M56" i="8" s="1"/>
  <c r="E26" i="8"/>
  <c r="M55" i="8" s="1"/>
  <c r="L57" i="10"/>
  <c r="L58" i="10" s="1"/>
  <c r="L52" i="10"/>
  <c r="H27" i="8"/>
  <c r="H26" i="8"/>
  <c r="K138" i="6"/>
  <c r="K139" i="6" s="1"/>
  <c r="J19" i="6"/>
  <c r="J20" i="6" s="1"/>
  <c r="K27" i="8"/>
  <c r="K26" i="8"/>
  <c r="J41" i="6"/>
  <c r="J67" i="6"/>
  <c r="Q56" i="8" l="1"/>
  <c r="E49" i="14"/>
  <c r="F73" i="6"/>
  <c r="K11" i="13"/>
  <c r="G84" i="8"/>
  <c r="J151" i="6"/>
  <c r="J152" i="6" s="1"/>
  <c r="J69" i="6" s="1"/>
  <c r="J70" i="6" s="1"/>
  <c r="I120" i="6"/>
  <c r="I123" i="6" s="1"/>
  <c r="H32" i="6"/>
  <c r="G70" i="6"/>
  <c r="G73" i="6" s="1"/>
  <c r="E73" i="6"/>
  <c r="M52" i="10"/>
  <c r="N48" i="10"/>
  <c r="N51" i="10" s="1"/>
  <c r="O49" i="10"/>
  <c r="G41" i="6"/>
  <c r="G67" i="6"/>
  <c r="H67" i="6"/>
  <c r="H70" i="6" s="1"/>
  <c r="H73" i="6" s="1"/>
  <c r="K140" i="6"/>
  <c r="K141" i="6" s="1"/>
  <c r="K143" i="6" s="1"/>
  <c r="K40" i="6" s="1"/>
  <c r="K144" i="6"/>
  <c r="K16" i="6" s="1"/>
  <c r="K17" i="6" s="1"/>
  <c r="M54" i="10"/>
  <c r="M72" i="10" s="1"/>
  <c r="M84" i="10" s="1"/>
  <c r="M73" i="10"/>
  <c r="N55" i="10"/>
  <c r="D152" i="6"/>
  <c r="D69" i="6" s="1"/>
  <c r="D70" i="6" s="1"/>
  <c r="D73" i="6" s="1"/>
  <c r="D74" i="6" s="1"/>
  <c r="E26" i="10"/>
  <c r="E25" i="10"/>
  <c r="M44" i="14" s="1"/>
  <c r="O28" i="10"/>
  <c r="J11" i="10"/>
  <c r="J13" i="10" s="1"/>
  <c r="N26" i="10" s="1"/>
  <c r="M57" i="14" s="1"/>
  <c r="O25" i="10"/>
  <c r="J53" i="6"/>
  <c r="J62" i="6" s="1"/>
  <c r="J22" i="6"/>
  <c r="R56" i="8" l="1"/>
  <c r="F49" i="14"/>
  <c r="D153" i="6"/>
  <c r="D44" i="6" s="1"/>
  <c r="D45" i="6" s="1"/>
  <c r="D47" i="6" s="1"/>
  <c r="K15" i="13"/>
  <c r="K14" i="13"/>
  <c r="K17" i="13"/>
  <c r="O11" i="13"/>
  <c r="P11" i="13"/>
  <c r="N11" i="13"/>
  <c r="Q11" i="13"/>
  <c r="R11" i="13"/>
  <c r="M57" i="10"/>
  <c r="M58" i="10" s="1"/>
  <c r="K67" i="6"/>
  <c r="K41" i="6"/>
  <c r="O55" i="10"/>
  <c r="N54" i="10"/>
  <c r="N72" i="10" s="1"/>
  <c r="N84" i="10" s="1"/>
  <c r="N73" i="10"/>
  <c r="K18" i="6"/>
  <c r="K19" i="6" s="1"/>
  <c r="O48" i="10"/>
  <c r="O51" i="10" s="1"/>
  <c r="P49" i="10"/>
  <c r="P48" i="10" s="1"/>
  <c r="P51" i="10" s="1"/>
  <c r="O26" i="10"/>
  <c r="O33" i="10" s="1"/>
  <c r="N33" i="10"/>
  <c r="O10" i="10"/>
  <c r="K102" i="10" s="1"/>
  <c r="L99" i="10" s="1"/>
  <c r="L100" i="10" s="1"/>
  <c r="J73" i="6"/>
  <c r="N52" i="10"/>
  <c r="O9" i="10"/>
  <c r="K96" i="10" s="1"/>
  <c r="E27" i="10"/>
  <c r="D27" i="6"/>
  <c r="D31" i="6" s="1"/>
  <c r="D33" i="6" s="1"/>
  <c r="E72" i="6"/>
  <c r="E74" i="6" s="1"/>
  <c r="I32" i="6"/>
  <c r="J120" i="6"/>
  <c r="J123" i="6" s="1"/>
  <c r="P26" i="10" l="1"/>
  <c r="N57" i="14" s="1"/>
  <c r="M65" i="14"/>
  <c r="F143" i="10"/>
  <c r="M46" i="14"/>
  <c r="S56" i="8"/>
  <c r="G49" i="14"/>
  <c r="E150" i="6"/>
  <c r="E153" i="6" s="1"/>
  <c r="E44" i="6" s="1"/>
  <c r="E45" i="6" s="1"/>
  <c r="E47" i="6" s="1"/>
  <c r="D49" i="6"/>
  <c r="R14" i="13"/>
  <c r="Q14" i="13"/>
  <c r="P14" i="13"/>
  <c r="O14" i="13"/>
  <c r="N14" i="13"/>
  <c r="P17" i="13"/>
  <c r="Q17" i="13"/>
  <c r="R17" i="13"/>
  <c r="O17" i="13"/>
  <c r="N17" i="13"/>
  <c r="Q15" i="13"/>
  <c r="R15" i="13"/>
  <c r="N15" i="13"/>
  <c r="O15" i="13"/>
  <c r="P15" i="13"/>
  <c r="O52" i="10"/>
  <c r="L27" i="8"/>
  <c r="L26" i="8"/>
  <c r="L93" i="10"/>
  <c r="K108" i="10"/>
  <c r="P55" i="10"/>
  <c r="O54" i="10"/>
  <c r="O72" i="10" s="1"/>
  <c r="O84" i="10" s="1"/>
  <c r="O73" i="10"/>
  <c r="F150" i="6"/>
  <c r="F153" i="6" s="1"/>
  <c r="K151" i="6"/>
  <c r="K152" i="6" s="1"/>
  <c r="K69" i="6" s="1"/>
  <c r="K70" i="6" s="1"/>
  <c r="K20" i="6"/>
  <c r="K53" i="6"/>
  <c r="K62" i="6" s="1"/>
  <c r="K22" i="6"/>
  <c r="P28" i="10"/>
  <c r="N60" i="14" s="1"/>
  <c r="E33" i="10"/>
  <c r="M52" i="14" s="1"/>
  <c r="P25" i="10"/>
  <c r="N58" i="14" s="1"/>
  <c r="N57" i="10"/>
  <c r="N58" i="10" s="1"/>
  <c r="F72" i="6"/>
  <c r="F74" i="6" s="1"/>
  <c r="E27" i="6"/>
  <c r="E31" i="6" s="1"/>
  <c r="E33" i="6" s="1"/>
  <c r="J32" i="6"/>
  <c r="K120" i="6"/>
  <c r="K123" i="6" s="1"/>
  <c r="K32" i="6" s="1"/>
  <c r="P52" i="10"/>
  <c r="T56" i="8" l="1"/>
  <c r="I49" i="14" s="1"/>
  <c r="H49" i="14"/>
  <c r="E49" i="6"/>
  <c r="K73" i="6"/>
  <c r="P33" i="10"/>
  <c r="N65" i="14" s="1"/>
  <c r="P54" i="10"/>
  <c r="P73" i="10"/>
  <c r="L105" i="10"/>
  <c r="L94" i="10"/>
  <c r="L106" i="10" s="1"/>
  <c r="L60" i="10" s="1"/>
  <c r="L62" i="10" s="1"/>
  <c r="F27" i="6"/>
  <c r="G79" i="8" s="1"/>
  <c r="G72" i="6"/>
  <c r="G74" i="6" s="1"/>
  <c r="G150" i="6"/>
  <c r="G153" i="6" s="1"/>
  <c r="F44" i="6"/>
  <c r="F45" i="6" s="1"/>
  <c r="F47" i="6" s="1"/>
  <c r="O16" i="8" s="1"/>
  <c r="O57" i="10"/>
  <c r="O58" i="10" s="1"/>
  <c r="E31" i="10"/>
  <c r="M50" i="14" s="1"/>
  <c r="G33" i="10"/>
  <c r="N52" i="14" s="1"/>
  <c r="F33" i="10"/>
  <c r="G26" i="10"/>
  <c r="N45" i="14" s="1"/>
  <c r="G25" i="10"/>
  <c r="N44" i="14" s="1"/>
  <c r="G27" i="10" l="1"/>
  <c r="N46" i="14" s="1"/>
  <c r="F31" i="6"/>
  <c r="F33" i="6" s="1"/>
  <c r="F49" i="6" s="1"/>
  <c r="E30" i="10"/>
  <c r="M49" i="14" s="1"/>
  <c r="E29" i="10"/>
  <c r="M48" i="14" s="1"/>
  <c r="G31" i="10"/>
  <c r="N50" i="14" s="1"/>
  <c r="F31" i="10"/>
  <c r="L65" i="10"/>
  <c r="L68" i="10" s="1"/>
  <c r="L63" i="10"/>
  <c r="G27" i="6"/>
  <c r="G31" i="6" s="1"/>
  <c r="G33" i="6" s="1"/>
  <c r="H72" i="6"/>
  <c r="H74" i="6" s="1"/>
  <c r="J16" i="8"/>
  <c r="T16" i="8"/>
  <c r="E16" i="8" s="1"/>
  <c r="G104" i="8" s="1"/>
  <c r="P72" i="10"/>
  <c r="P84" i="10" s="1"/>
  <c r="P57" i="10"/>
  <c r="G44" i="6"/>
  <c r="G45" i="6" s="1"/>
  <c r="G47" i="6" s="1"/>
  <c r="H150" i="6"/>
  <c r="H153" i="6" s="1"/>
  <c r="H44" i="6" l="1"/>
  <c r="H45" i="6" s="1"/>
  <c r="H47" i="6" s="1"/>
  <c r="I150" i="6"/>
  <c r="I153" i="6" s="1"/>
  <c r="L83" i="10"/>
  <c r="L87" i="10" s="1"/>
  <c r="L69" i="10"/>
  <c r="E120" i="10"/>
  <c r="F29" i="10"/>
  <c r="G29" i="10"/>
  <c r="N48" i="14" s="1"/>
  <c r="E112" i="10"/>
  <c r="E114" i="10" s="1"/>
  <c r="P58" i="10"/>
  <c r="E121" i="10"/>
  <c r="F30" i="10"/>
  <c r="G30" i="10"/>
  <c r="N49" i="14" s="1"/>
  <c r="H27" i="6"/>
  <c r="H31" i="6" s="1"/>
  <c r="H33" i="6" s="1"/>
  <c r="H49" i="6" s="1"/>
  <c r="I72" i="6"/>
  <c r="I74" i="6" s="1"/>
  <c r="G49" i="6"/>
  <c r="L95" i="10" l="1"/>
  <c r="L101" i="10" s="1"/>
  <c r="L102" i="10" s="1"/>
  <c r="M99" i="10" s="1"/>
  <c r="J72" i="6"/>
  <c r="J74" i="6" s="1"/>
  <c r="I27" i="6"/>
  <c r="I31" i="6" s="1"/>
  <c r="I33" i="6" s="1"/>
  <c r="E122" i="10"/>
  <c r="G120" i="10" s="1"/>
  <c r="I44" i="6"/>
  <c r="I45" i="6" s="1"/>
  <c r="I47" i="6" s="1"/>
  <c r="J150" i="6"/>
  <c r="J153" i="6" s="1"/>
  <c r="G121" i="10" l="1"/>
  <c r="G122" i="10" s="1"/>
  <c r="I49" i="6"/>
  <c r="J27" i="6"/>
  <c r="J31" i="6" s="1"/>
  <c r="J33" i="6" s="1"/>
  <c r="K72" i="6"/>
  <c r="K74" i="6" s="1"/>
  <c r="K27" i="6" s="1"/>
  <c r="E116" i="10" s="1"/>
  <c r="J44" i="6"/>
  <c r="J45" i="6" s="1"/>
  <c r="J47" i="6" s="1"/>
  <c r="K150" i="6"/>
  <c r="K153" i="6" s="1"/>
  <c r="K44" i="6" s="1"/>
  <c r="K45" i="6" s="1"/>
  <c r="K47" i="6" s="1"/>
  <c r="M100" i="10"/>
  <c r="L107" i="10"/>
  <c r="L96" i="10"/>
  <c r="K31" i="6" l="1"/>
  <c r="K33" i="6" s="1"/>
  <c r="K49" i="6" s="1"/>
  <c r="J49" i="6"/>
  <c r="L108" i="10"/>
  <c r="M93" i="10"/>
  <c r="M105" i="10" l="1"/>
  <c r="M94" i="10"/>
  <c r="M106" i="10" s="1"/>
  <c r="M60" i="10" s="1"/>
  <c r="M62" i="10" s="1"/>
  <c r="M65" i="10" l="1"/>
  <c r="M68" i="10" s="1"/>
  <c r="M63" i="10"/>
  <c r="M83" i="10" l="1"/>
  <c r="M87" i="10" s="1"/>
  <c r="M69" i="10"/>
  <c r="M95" i="10" l="1"/>
  <c r="M96" i="10" s="1"/>
  <c r="M101" i="10" l="1"/>
  <c r="M107" i="10" s="1"/>
  <c r="N93" i="10"/>
  <c r="M102" i="10" l="1"/>
  <c r="N99" i="10" s="1"/>
  <c r="N100" i="10" s="1"/>
  <c r="N94" i="10"/>
  <c r="N106" i="10" l="1"/>
  <c r="N60" i="10" s="1"/>
  <c r="N62" i="10" s="1"/>
  <c r="N63" i="10" s="1"/>
  <c r="N105" i="10"/>
  <c r="M108" i="10"/>
  <c r="N65" i="10" l="1"/>
  <c r="N68" i="10" s="1"/>
  <c r="N69" i="10" s="1"/>
  <c r="N83" i="10" l="1"/>
  <c r="N87" i="10" s="1"/>
  <c r="N95" i="10" s="1"/>
  <c r="N101" i="10" s="1"/>
  <c r="N102" i="10" s="1"/>
  <c r="O99" i="10" s="1"/>
  <c r="O100" i="10" s="1"/>
  <c r="N107" i="10" l="1"/>
  <c r="N96" i="10"/>
  <c r="N108" i="10" l="1"/>
  <c r="O93" i="10"/>
  <c r="O105" i="10" l="1"/>
  <c r="O94" i="10"/>
  <c r="O106" i="10" s="1"/>
  <c r="O60" i="10" s="1"/>
  <c r="O62" i="10" s="1"/>
  <c r="O65" i="10" l="1"/>
  <c r="O68" i="10" s="1"/>
  <c r="O63" i="10"/>
  <c r="O69" i="10" l="1"/>
  <c r="O83" i="10"/>
  <c r="O87" i="10" s="1"/>
  <c r="O95" i="10" l="1"/>
  <c r="O101" i="10" s="1"/>
  <c r="O102" i="10" s="1"/>
  <c r="P99" i="10" s="1"/>
  <c r="P100" i="10" s="1"/>
  <c r="O107" i="10" l="1"/>
  <c r="O96" i="10"/>
  <c r="O108" i="10" l="1"/>
  <c r="P93" i="10"/>
  <c r="P105" i="10" l="1"/>
  <c r="P94" i="10"/>
  <c r="P106" i="10" s="1"/>
  <c r="P60" i="10" s="1"/>
  <c r="P62" i="10" s="1"/>
  <c r="P63" i="10" l="1"/>
  <c r="P65" i="10"/>
  <c r="P68" i="10" s="1"/>
  <c r="P69" i="10" l="1"/>
  <c r="P83" i="10"/>
  <c r="P87" i="10" s="1"/>
  <c r="P95" i="10" l="1"/>
  <c r="P101" i="10" s="1"/>
  <c r="P102" i="10" s="1"/>
  <c r="P107" i="10" l="1"/>
  <c r="P96" i="10"/>
  <c r="P108" i="10" s="1"/>
  <c r="E115" i="10" s="1"/>
  <c r="E117" i="10" s="1"/>
  <c r="E126" i="10" l="1"/>
  <c r="E125" i="10"/>
  <c r="G126" i="10" l="1"/>
  <c r="I126" i="10" s="1"/>
  <c r="E127" i="10"/>
  <c r="G125" i="10"/>
  <c r="G127" i="10" l="1"/>
  <c r="F142" i="10"/>
  <c r="F144" i="10" s="1"/>
  <c r="F146" i="10" s="1"/>
  <c r="C150" i="10" s="1"/>
  <c r="I125" i="10"/>
  <c r="I127" i="10" s="1"/>
  <c r="P18" i="10"/>
  <c r="C131" i="10" l="1"/>
  <c r="P19" i="10"/>
  <c r="C38" i="6"/>
  <c r="C41" i="6" s="1"/>
  <c r="C49" i="6" l="1"/>
  <c r="C47" i="6"/>
  <c r="P55" i="8" l="1"/>
  <c r="E48" i="14" s="1"/>
  <c r="Q49" i="8"/>
  <c r="F46" i="14" s="1"/>
  <c r="T49" i="8"/>
  <c r="I46" i="14" s="1"/>
  <c r="R49" i="8"/>
  <c r="G46" i="14" s="1"/>
  <c r="S49" i="8"/>
  <c r="H46" i="14" s="1"/>
  <c r="R55" i="8" l="1"/>
  <c r="T55" i="8"/>
  <c r="Q55" i="8"/>
  <c r="P58" i="8"/>
  <c r="E50" i="14" s="1"/>
  <c r="S55" i="8"/>
  <c r="H48" i="14" s="1"/>
  <c r="T58" i="8" l="1"/>
  <c r="I48" i="14"/>
  <c r="Q58" i="8"/>
  <c r="F48" i="14"/>
  <c r="R58" i="8"/>
  <c r="G48" i="14"/>
  <c r="P69" i="8"/>
  <c r="S58" i="8"/>
  <c r="H50" i="14" s="1"/>
  <c r="E54" i="14" l="1"/>
  <c r="R69" i="8"/>
  <c r="G50" i="14"/>
  <c r="Q69" i="8"/>
  <c r="F50" i="14"/>
  <c r="T69" i="8"/>
  <c r="I50" i="14"/>
  <c r="P70" i="8"/>
  <c r="S69" i="8"/>
  <c r="H54" i="14" s="1"/>
  <c r="G75" i="8" l="1"/>
  <c r="G76" i="8" s="1"/>
  <c r="I54" i="14"/>
  <c r="Q70" i="8"/>
  <c r="F54" i="14"/>
  <c r="R70" i="8"/>
  <c r="G54" i="14"/>
  <c r="T70" i="8"/>
  <c r="S70" i="8"/>
  <c r="G78" i="8" l="1"/>
  <c r="G106" i="8"/>
  <c r="G87" i="8" l="1"/>
  <c r="J85" i="8"/>
  <c r="G115" i="8"/>
  <c r="J102" i="8" s="1"/>
  <c r="J111" i="8"/>
  <c r="G81" i="8"/>
  <c r="G109" i="8"/>
  <c r="J7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Cole</author>
  </authors>
  <commentList>
    <comment ref="C27" authorId="0" shapeId="0" xr:uid="{E01615B4-C23A-4E09-A8EC-D80930F8BF12}">
      <text>
        <r>
          <rPr>
            <b/>
            <sz val="9"/>
            <color indexed="81"/>
            <rFont val="Tahoma"/>
            <family val="2"/>
          </rPr>
          <t>Daniel Cole:</t>
        </r>
        <r>
          <rPr>
            <sz val="9"/>
            <color indexed="81"/>
            <rFont val="Tahoma"/>
            <family val="2"/>
          </rPr>
          <t xml:space="preserve">
Goal seek - to balance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<sst xmlns="http://schemas.openxmlformats.org/spreadsheetml/2006/main" count="540" uniqueCount="286">
  <si>
    <t>Income Statement</t>
  </si>
  <si>
    <t>Balance Sheet</t>
  </si>
  <si>
    <t>Cash Flow Statement</t>
  </si>
  <si>
    <t>Revenue</t>
  </si>
  <si>
    <t>Inventory</t>
  </si>
  <si>
    <t>Cash Flow from Operating Activities</t>
  </si>
  <si>
    <t>Cash Flow from Investing Activities</t>
  </si>
  <si>
    <t>Cash Flow from Financing Activities</t>
  </si>
  <si>
    <t>Change in Cash</t>
  </si>
  <si>
    <t>Retained Earnings</t>
  </si>
  <si>
    <t>COGS</t>
  </si>
  <si>
    <t>SG&amp;A</t>
  </si>
  <si>
    <t>Gross Profit</t>
  </si>
  <si>
    <t>Depreciation</t>
  </si>
  <si>
    <t>Operating Profit</t>
  </si>
  <si>
    <t>Interest Expense</t>
  </si>
  <si>
    <t>Earnings Before Tax</t>
  </si>
  <si>
    <t>Taxes</t>
  </si>
  <si>
    <t>Net Income</t>
  </si>
  <si>
    <t>Cash &amp; Cash Equivalents</t>
  </si>
  <si>
    <t>Accounts Receivable</t>
  </si>
  <si>
    <t>Total Current Assets</t>
  </si>
  <si>
    <t>Total Assets</t>
  </si>
  <si>
    <t>Accounts Payable</t>
  </si>
  <si>
    <t>Total Current Liabilities</t>
  </si>
  <si>
    <t>Long Term Debt</t>
  </si>
  <si>
    <t>Total Liabilities</t>
  </si>
  <si>
    <t>Common Stock</t>
  </si>
  <si>
    <t>Total Shareholders' Equity</t>
  </si>
  <si>
    <t>Total Liabilities &amp; Equity</t>
  </si>
  <si>
    <t>Balance Sheet Check</t>
  </si>
  <si>
    <t>Capital Expenditures</t>
  </si>
  <si>
    <t>Change in Common Stock</t>
  </si>
  <si>
    <t>Dividends</t>
  </si>
  <si>
    <t>Supporting Schedules</t>
  </si>
  <si>
    <t>Assumptions</t>
  </si>
  <si>
    <t>Tax Rate</t>
  </si>
  <si>
    <t>Income Statement Assumptions</t>
  </si>
  <si>
    <t>Balance Sheet Assumptions</t>
  </si>
  <si>
    <t>End of Year Cash Balance</t>
  </si>
  <si>
    <t>Beginning of Year Cash Balance</t>
  </si>
  <si>
    <t>Capex</t>
  </si>
  <si>
    <t>Interest</t>
  </si>
  <si>
    <t>X</t>
  </si>
  <si>
    <t>SG&amp;A as a % of Rev</t>
  </si>
  <si>
    <t>COGS as a % of Rev</t>
  </si>
  <si>
    <t>Existing Asset Depreciation</t>
  </si>
  <si>
    <t>New Assets Depreciation</t>
  </si>
  <si>
    <t>Total Depreciation</t>
  </si>
  <si>
    <t>New Assets Useful Life (years)</t>
  </si>
  <si>
    <t>Existing Assets Useful Life (years)</t>
  </si>
  <si>
    <t>Retained Earnings Schedule</t>
  </si>
  <si>
    <t>End of Period RE</t>
  </si>
  <si>
    <t>Beginning of Period RE</t>
  </si>
  <si>
    <t>Beginning Balance</t>
  </si>
  <si>
    <t>Ending Balance</t>
  </si>
  <si>
    <t>Work in Progress</t>
  </si>
  <si>
    <t>Acrrued Expenses</t>
  </si>
  <si>
    <t>Unearned Revenues</t>
  </si>
  <si>
    <t>Revenue Growth</t>
  </si>
  <si>
    <t>Capex as a % of Rev</t>
  </si>
  <si>
    <t>PP&amp;E 2020 YE</t>
  </si>
  <si>
    <t>Fixed Asset Schedule</t>
  </si>
  <si>
    <t>EBITDA</t>
  </si>
  <si>
    <t>Gross Margin %</t>
  </si>
  <si>
    <t>EBIT Margin %</t>
  </si>
  <si>
    <t>D&amp;A</t>
  </si>
  <si>
    <t>Net Margin %</t>
  </si>
  <si>
    <t>Senior Debt</t>
  </si>
  <si>
    <t>Sub Debt</t>
  </si>
  <si>
    <t>Long-term Debt Schedule</t>
  </si>
  <si>
    <t>Amount</t>
  </si>
  <si>
    <t>Rate</t>
  </si>
  <si>
    <t>Term</t>
  </si>
  <si>
    <t>Tranche</t>
  </si>
  <si>
    <t>Paydown</t>
  </si>
  <si>
    <t>Year</t>
  </si>
  <si>
    <t>Total Long-term Debt</t>
  </si>
  <si>
    <t>Total Interest Epense</t>
  </si>
  <si>
    <t>Property Plant &amp; Equipment (PP&amp;E)</t>
  </si>
  <si>
    <t>Beginning PP&amp;E</t>
  </si>
  <si>
    <t>Ending PP&amp;E</t>
  </si>
  <si>
    <t>Dividend Payout Ratio</t>
  </si>
  <si>
    <t>(+) D&amp;A</t>
  </si>
  <si>
    <t>Change in Working Capital:</t>
  </si>
  <si>
    <t>Change in Long Term Debt</t>
  </si>
  <si>
    <t>Tactical Technologies XYZ  -  Finacial Statements &amp; Assumptions</t>
  </si>
  <si>
    <t>x</t>
  </si>
  <si>
    <t>Switches</t>
  </si>
  <si>
    <t>Metric</t>
  </si>
  <si>
    <t>EBIT</t>
  </si>
  <si>
    <t>WACC</t>
  </si>
  <si>
    <t>TGR</t>
  </si>
  <si>
    <t>Valuation</t>
  </si>
  <si>
    <t>% growth</t>
  </si>
  <si>
    <t>--</t>
  </si>
  <si>
    <t>% of sales</t>
  </si>
  <si>
    <t>Tax rate</t>
  </si>
  <si>
    <t>CapEx</t>
  </si>
  <si>
    <t>Change in NWC</t>
  </si>
  <si>
    <t>% of change in sales</t>
  </si>
  <si>
    <t>DCF</t>
  </si>
  <si>
    <t>Conservative Case</t>
  </si>
  <si>
    <t>Optimistic Case</t>
  </si>
  <si>
    <t>EBIAT</t>
  </si>
  <si>
    <t>Unlevered FCF</t>
  </si>
  <si>
    <t>Terminal Value</t>
  </si>
  <si>
    <t>Enterprise Value</t>
  </si>
  <si>
    <t>(+) Cash</t>
  </si>
  <si>
    <t>(-) Debt</t>
  </si>
  <si>
    <t>Equity Value</t>
  </si>
  <si>
    <t>Tactical Technologies XYZ  -  DCF</t>
  </si>
  <si>
    <t>Cash Flow Items</t>
  </si>
  <si>
    <t>Forecast Period</t>
  </si>
  <si>
    <t>'24-'28</t>
  </si>
  <si>
    <t>Base Case</t>
  </si>
  <si>
    <t>Tactical Technologies XYZ  -  WACC</t>
  </si>
  <si>
    <t>KTOS</t>
  </si>
  <si>
    <t>Ducommun Inc.</t>
  </si>
  <si>
    <t>DCO</t>
  </si>
  <si>
    <t>PTB Group Limited</t>
  </si>
  <si>
    <t>PTB</t>
  </si>
  <si>
    <t>AAR Corp.</t>
  </si>
  <si>
    <t>AIR</t>
  </si>
  <si>
    <t>Ticker</t>
  </si>
  <si>
    <t>Beta</t>
  </si>
  <si>
    <t>D/E</t>
  </si>
  <si>
    <t>Total Debt</t>
  </si>
  <si>
    <t>Debt Ratio</t>
  </si>
  <si>
    <t>Unlevered</t>
  </si>
  <si>
    <t>Relevered</t>
  </si>
  <si>
    <t>Average:</t>
  </si>
  <si>
    <t>Median:</t>
  </si>
  <si>
    <t>Cost of Equity</t>
  </si>
  <si>
    <t>Risk Free Rate</t>
  </si>
  <si>
    <t>Market Risk Premium</t>
  </si>
  <si>
    <t>Cost of Debt</t>
  </si>
  <si>
    <t>Total</t>
  </si>
  <si>
    <t>Equity Size Premium</t>
  </si>
  <si>
    <t>Present Vaue of FCF</t>
  </si>
  <si>
    <t>PV of Terminal Value</t>
  </si>
  <si>
    <t>Implied EBITDA Multiple</t>
  </si>
  <si>
    <t>Growth in Perpetuity Valuation</t>
  </si>
  <si>
    <t>2023 EBITDA</t>
  </si>
  <si>
    <t>Terminal Growth Rate</t>
  </si>
  <si>
    <t>Financials</t>
  </si>
  <si>
    <t>Entry</t>
  </si>
  <si>
    <t>Capital Structure</t>
  </si>
  <si>
    <t>LTM</t>
  </si>
  <si>
    <t>LTM EBITDA</t>
  </si>
  <si>
    <t>Entry Multiple</t>
  </si>
  <si>
    <t>OpEx</t>
  </si>
  <si>
    <t>Existing Net Debt</t>
  </si>
  <si>
    <t>NWC</t>
  </si>
  <si>
    <t>MOIC</t>
  </si>
  <si>
    <t>Fees &amp; Expenses</t>
  </si>
  <si>
    <t>IRR</t>
  </si>
  <si>
    <t>Operating Assumptions</t>
  </si>
  <si>
    <t>Exit</t>
  </si>
  <si>
    <t>Exit Multiple</t>
  </si>
  <si>
    <t>Sources &amp; Uses</t>
  </si>
  <si>
    <t>Sources</t>
  </si>
  <si>
    <t>Uses</t>
  </si>
  <si>
    <t>xEBITDA</t>
  </si>
  <si>
    <t>% Capital</t>
  </si>
  <si>
    <t>Debt Refinancing</t>
  </si>
  <si>
    <t>Equity Payment</t>
  </si>
  <si>
    <t>Sponsor Equity</t>
  </si>
  <si>
    <t>Total Sources</t>
  </si>
  <si>
    <t>Total Uses</t>
  </si>
  <si>
    <t>Operating Model</t>
  </si>
  <si>
    <t xml:space="preserve">   % growth</t>
  </si>
  <si>
    <t xml:space="preserve">   % of sales</t>
  </si>
  <si>
    <t>EBT</t>
  </si>
  <si>
    <t xml:space="preserve">   % tax rate</t>
  </si>
  <si>
    <t>Net Working Capital</t>
  </si>
  <si>
    <t>Change in Net Working Capital</t>
  </si>
  <si>
    <t>Levered Free Cash Flow</t>
  </si>
  <si>
    <t>Debt Schedule</t>
  </si>
  <si>
    <t>LTM EBITDA at Exit</t>
  </si>
  <si>
    <t>USD $, thousands</t>
  </si>
  <si>
    <t>Tactical Technologies XYZ  -  LBO</t>
  </si>
  <si>
    <t>USD $, Thousands</t>
  </si>
  <si>
    <t>Tranche A</t>
  </si>
  <si>
    <t>Tranche B</t>
  </si>
  <si>
    <t>Rollover Equity</t>
  </si>
  <si>
    <t>% Equity</t>
  </si>
  <si>
    <t>Exit Waterfall</t>
  </si>
  <si>
    <t>Equity at Entry:</t>
  </si>
  <si>
    <t>% ownership</t>
  </si>
  <si>
    <t>Proceeds</t>
  </si>
  <si>
    <t>Sponsor</t>
  </si>
  <si>
    <t>Management</t>
  </si>
  <si>
    <t>Target IRR</t>
  </si>
  <si>
    <t>Target</t>
  </si>
  <si>
    <t>Close Date</t>
  </si>
  <si>
    <t>Tactical Technologies XYZ  -  Precedent Transaction Analysis</t>
  </si>
  <si>
    <t>Acquiror</t>
  </si>
  <si>
    <t>Parsons Corp.</t>
  </si>
  <si>
    <t>PAE, Inc</t>
  </si>
  <si>
    <t>CACI International, Inc</t>
  </si>
  <si>
    <t>Comparable Transactions</t>
  </si>
  <si>
    <t>Operating Metrics</t>
  </si>
  <si>
    <t>Deal Value</t>
  </si>
  <si>
    <t>($, thousands)</t>
  </si>
  <si>
    <t>Valuation Ratios</t>
  </si>
  <si>
    <t>EV / Rev</t>
  </si>
  <si>
    <t>EV / EBITDA</t>
  </si>
  <si>
    <t>(X)</t>
  </si>
  <si>
    <t>Max</t>
  </si>
  <si>
    <t>Average</t>
  </si>
  <si>
    <t>Median</t>
  </si>
  <si>
    <t>Min</t>
  </si>
  <si>
    <t>Upper Quartile</t>
  </si>
  <si>
    <t>Lower Quartile</t>
  </si>
  <si>
    <t>Implied Valuation</t>
  </si>
  <si>
    <t>Implied Entry Equity Value</t>
  </si>
  <si>
    <t>(+) Debt</t>
  </si>
  <si>
    <t>Implied Purchase Price</t>
  </si>
  <si>
    <t>Implied EBITDA Multiple Range</t>
  </si>
  <si>
    <t>Worst Case</t>
  </si>
  <si>
    <t>Best Case</t>
  </si>
  <si>
    <t>IRR (For Reference)</t>
  </si>
  <si>
    <t>Senior Debt - Leverage</t>
  </si>
  <si>
    <t>IRR Sensitivity - Entry &amp; Exit EBITDA Multiples</t>
  </si>
  <si>
    <t>Target  -  IRR %</t>
  </si>
  <si>
    <t>Tactical Technologies XYZ  -  Valuation Summary</t>
  </si>
  <si>
    <t>Methodology</t>
  </si>
  <si>
    <t>Precendent Transactions</t>
  </si>
  <si>
    <t>Discounted Cash Flows</t>
  </si>
  <si>
    <t>Leveraged Buy Out</t>
  </si>
  <si>
    <t>Minimum</t>
  </si>
  <si>
    <t>Multiple</t>
  </si>
  <si>
    <t>25th</t>
  </si>
  <si>
    <t>75th</t>
  </si>
  <si>
    <t>Maximum</t>
  </si>
  <si>
    <t>Lower</t>
  </si>
  <si>
    <t>Quartile</t>
  </si>
  <si>
    <t>Upper</t>
  </si>
  <si>
    <t>Range of Valuation Multiples</t>
  </si>
  <si>
    <t>Tactical Tech XYZ</t>
  </si>
  <si>
    <t>Implied Tactical Tech XYZ Enterprise Value</t>
  </si>
  <si>
    <t>Min.</t>
  </si>
  <si>
    <t>Max.</t>
  </si>
  <si>
    <t>Terminal EBITDA Multiple Valuation</t>
  </si>
  <si>
    <t>Terminal EBITDA Multiple</t>
  </si>
  <si>
    <t>Applicable Metric</t>
  </si>
  <si>
    <t>EV / Revenue</t>
  </si>
  <si>
    <t>TGR 2.0% - 3.0%, WACC 10.5% - 12.5% - Base Case</t>
  </si>
  <si>
    <t>Terminal EBITDA Multiple 9x - 11x - Base Case</t>
  </si>
  <si>
    <t>General Dynamics, Inc</t>
  </si>
  <si>
    <t>Atlas Command Systems</t>
  </si>
  <si>
    <t>Sentinel Defense Systems</t>
  </si>
  <si>
    <t>Aegis Solutions Group</t>
  </si>
  <si>
    <t>Triton Defense Technologies</t>
  </si>
  <si>
    <t>Hilltop Mission Support</t>
  </si>
  <si>
    <t>Precedent Transactions: EV / EBITDA</t>
  </si>
  <si>
    <t>Precedent Transactions: EV / Revenue</t>
  </si>
  <si>
    <t>DCF: TGR 2.0% - 3.0%, WACC 10.5% - 12.5%</t>
  </si>
  <si>
    <t>DCF: Terminal EBITDA Multiple 9x - 11x</t>
  </si>
  <si>
    <t>3.25x  -  4.75x debt, Exit Price 8x EBITDA</t>
  </si>
  <si>
    <t>LBO: 3.25x - 4.75x debt, Exit Price 8x EBITDA</t>
  </si>
  <si>
    <t>CAGR</t>
  </si>
  <si>
    <t>Source: hypotheticals</t>
  </si>
  <si>
    <t>DC Capital Partners</t>
  </si>
  <si>
    <t>(-) Taxes</t>
  </si>
  <si>
    <t>% Tax Rate</t>
  </si>
  <si>
    <t>Unlevered Net Income</t>
  </si>
  <si>
    <t>(-) CapEx</t>
  </si>
  <si>
    <t>(-) ▲ in NWC</t>
  </si>
  <si>
    <t>Implied EBITDA Multiple - Base Case</t>
  </si>
  <si>
    <t>Implied Enterprise Value - 11.5% WACC; 2.5% TGR</t>
  </si>
  <si>
    <t>2028 EBITDA</t>
  </si>
  <si>
    <t>Reveneue Growth</t>
  </si>
  <si>
    <t>Implied Enterprise Value - 8x Terminal EBITDA Multiple</t>
  </si>
  <si>
    <t>Total Equity</t>
  </si>
  <si>
    <t>% of</t>
  </si>
  <si>
    <t>Existing Debt</t>
  </si>
  <si>
    <t>Debt / Capital</t>
  </si>
  <si>
    <t>Equity / Capital</t>
  </si>
  <si>
    <t>Pre-Tax Cost of Debt</t>
  </si>
  <si>
    <t>Tactical Technologies XYZ WACC</t>
  </si>
  <si>
    <t>Weighted Average Cost of Capital</t>
  </si>
  <si>
    <t>Comps.</t>
  </si>
  <si>
    <t>Beta Analysis</t>
  </si>
  <si>
    <t>Kratos Defense,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</si>
</sst>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0\A"/>
    <numFmt numFmtId="165" formatCode="_(#,##0_);\(#,##0\);_(&quot;–&quot;_);_(@_)"/>
    <numFmt numFmtId="166" formatCode="0.0%"/>
    <numFmt numFmtId="167" formatCode="0\P"/>
    <numFmt numFmtId="168" formatCode="&quot;Year&quot;\ 0"/>
    <numFmt numFmtId="169" formatCode="_(* #,##0_);_(* \(#,##0\);_(* &quot;-&quot;??_);_(@_)"/>
    <numFmt numFmtId="170" formatCode="0.0%;\(0.0%\)"/>
    <numFmt numFmtId="171" formatCode="0&quot;E&quot;"/>
    <numFmt numFmtId="172" formatCode=";;"/>
    <numFmt numFmtId="173" formatCode="0.0\x"/>
    <numFmt numFmtId="174" formatCode="[$-409]mmm\-yy;@"/>
    <numFmt numFmtId="175" formatCode="0.00\x"/>
    <numFmt numFmtId="176" formatCode="&quot;Worst Case&quot;"/>
    <numFmt numFmtId="177" formatCode="&quot;Base Case&quot;"/>
    <numFmt numFmtId="178" formatCode="&quot;Best Case&quot;"/>
    <numFmt numFmtId="179" formatCode="#,##0.0,"/>
    <numFmt numFmtId="180" formatCode="&quot;$&quot;\ #,##0.0,"/>
    <numFmt numFmtId="181" formatCode="0\E"/>
    <numFmt numFmtId="182" formatCode="&quot;$&quot;\ #,##0.0"/>
  </numFmts>
  <fonts count="4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432FF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sz val="10"/>
      <name val="Arial"/>
      <family val="2"/>
    </font>
    <font>
      <i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b/>
      <u/>
      <sz val="10"/>
      <color theme="1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b/>
      <sz val="14"/>
      <color rgb="FF073673"/>
      <name val="Arial"/>
      <family val="2"/>
    </font>
    <font>
      <b/>
      <sz val="16"/>
      <color rgb="FF073673"/>
      <name val="Arial"/>
      <family val="2"/>
    </font>
    <font>
      <u/>
      <sz val="10"/>
      <color theme="1"/>
      <name val="Arial"/>
      <family val="2"/>
    </font>
    <font>
      <sz val="10"/>
      <color theme="9"/>
      <name val="Arial"/>
      <family val="2"/>
    </font>
    <font>
      <sz val="10"/>
      <color rgb="FFC00000"/>
      <name val="Arial"/>
      <family val="2"/>
    </font>
    <font>
      <sz val="10"/>
      <color rgb="FF7030A0"/>
      <name val="Arial"/>
      <family val="2"/>
    </font>
    <font>
      <b/>
      <i/>
      <sz val="10"/>
      <color theme="1"/>
      <name val="Arial"/>
      <family val="2"/>
    </font>
    <font>
      <sz val="10"/>
      <color theme="9" tint="-0.249977111117893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0"/>
      <color rgb="FF0000FF"/>
      <name val="Arial"/>
      <family val="2"/>
    </font>
    <font>
      <i/>
      <sz val="10"/>
      <color theme="9" tint="-0.249977111117893"/>
      <name val="Arial"/>
      <family val="2"/>
    </font>
    <font>
      <b/>
      <sz val="12"/>
      <name val="Arial"/>
      <family val="2"/>
    </font>
    <font>
      <b/>
      <sz val="10"/>
      <color rgb="FF073673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073673"/>
      <name val="Arial"/>
      <family val="2"/>
    </font>
    <font>
      <i/>
      <sz val="10"/>
      <color rgb="FF073673"/>
      <name val="Arial"/>
      <family val="2"/>
    </font>
    <font>
      <b/>
      <i/>
      <sz val="10"/>
      <color rgb="FF073673"/>
      <name val="Arial"/>
      <family val="2"/>
    </font>
    <font>
      <b/>
      <sz val="9"/>
      <color rgb="FF073673"/>
      <name val="Arial"/>
      <family val="2"/>
    </font>
    <font>
      <b/>
      <sz val="10"/>
      <color rgb="FF073673"/>
      <name val="Calibri"/>
      <family val="2"/>
      <scheme val="minor"/>
    </font>
    <font>
      <b/>
      <sz val="14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7367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hair">
        <color indexed="64"/>
      </top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Dashed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Dashed">
        <color rgb="FFFF0000"/>
      </right>
      <top style="medium">
        <color indexed="64"/>
      </top>
      <bottom/>
      <diagonal/>
    </border>
    <border>
      <left/>
      <right style="mediumDashed">
        <color rgb="FFFF0000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367">
    <xf numFmtId="0" fontId="0" fillId="0" borderId="0" xfId="0"/>
    <xf numFmtId="0" fontId="3" fillId="0" borderId="0" xfId="0" applyFont="1"/>
    <xf numFmtId="0" fontId="4" fillId="2" borderId="0" xfId="0" applyFont="1" applyFill="1" applyAlignment="1">
      <alignment vertical="center"/>
    </xf>
    <xf numFmtId="0" fontId="5" fillId="5" borderId="0" xfId="0" applyFont="1" applyFill="1"/>
    <xf numFmtId="165" fontId="3" fillId="0" borderId="0" xfId="0" applyNumberFormat="1" applyFont="1"/>
    <xf numFmtId="165" fontId="7" fillId="0" borderId="0" xfId="0" applyNumberFormat="1" applyFont="1"/>
    <xf numFmtId="0" fontId="6" fillId="0" borderId="0" xfId="0" applyFont="1"/>
    <xf numFmtId="165" fontId="6" fillId="0" borderId="0" xfId="0" applyNumberFormat="1" applyFont="1"/>
    <xf numFmtId="1" fontId="7" fillId="0" borderId="0" xfId="0" applyNumberFormat="1" applyFont="1"/>
    <xf numFmtId="166" fontId="7" fillId="0" borderId="0" xfId="1" applyNumberFormat="1" applyFont="1"/>
    <xf numFmtId="166" fontId="7" fillId="0" borderId="0" xfId="0" applyNumberFormat="1" applyFont="1"/>
    <xf numFmtId="166" fontId="3" fillId="0" borderId="0" xfId="1" applyNumberFormat="1" applyFont="1"/>
    <xf numFmtId="166" fontId="3" fillId="0" borderId="0" xfId="0" applyNumberFormat="1" applyFont="1"/>
    <xf numFmtId="0" fontId="8" fillId="6" borderId="0" xfId="0" applyFont="1" applyFill="1"/>
    <xf numFmtId="164" fontId="4" fillId="6" borderId="0" xfId="0" applyNumberFormat="1" applyFont="1" applyFill="1" applyAlignment="1">
      <alignment horizontal="center"/>
    </xf>
    <xf numFmtId="167" fontId="4" fillId="6" borderId="0" xfId="0" applyNumberFormat="1" applyFont="1" applyFill="1" applyAlignment="1">
      <alignment horizontal="center"/>
    </xf>
    <xf numFmtId="165" fontId="11" fillId="0" borderId="0" xfId="0" applyNumberFormat="1" applyFont="1"/>
    <xf numFmtId="0" fontId="4" fillId="6" borderId="0" xfId="0" applyFont="1" applyFill="1"/>
    <xf numFmtId="0" fontId="13" fillId="0" borderId="0" xfId="0" applyFont="1"/>
    <xf numFmtId="9" fontId="12" fillId="0" borderId="0" xfId="1" applyFont="1" applyBorder="1"/>
    <xf numFmtId="0" fontId="14" fillId="0" borderId="0" xfId="0" applyFont="1" applyAlignment="1">
      <alignment horizontal="left" indent="1"/>
    </xf>
    <xf numFmtId="0" fontId="6" fillId="5" borderId="1" xfId="0" applyFont="1" applyFill="1" applyBorder="1"/>
    <xf numFmtId="165" fontId="6" fillId="5" borderId="1" xfId="0" applyNumberFormat="1" applyFont="1" applyFill="1" applyBorder="1"/>
    <xf numFmtId="0" fontId="7" fillId="0" borderId="2" xfId="0" applyFont="1" applyBorder="1"/>
    <xf numFmtId="165" fontId="7" fillId="0" borderId="2" xfId="0" applyNumberFormat="1" applyFont="1" applyBorder="1"/>
    <xf numFmtId="0" fontId="5" fillId="0" borderId="0" xfId="0" applyFont="1"/>
    <xf numFmtId="0" fontId="6" fillId="5" borderId="0" xfId="0" applyFont="1" applyFill="1"/>
    <xf numFmtId="0" fontId="6" fillId="5" borderId="3" xfId="0" applyFont="1" applyFill="1" applyBorder="1"/>
    <xf numFmtId="0" fontId="6" fillId="5" borderId="4" xfId="0" applyFont="1" applyFill="1" applyBorder="1"/>
    <xf numFmtId="164" fontId="6" fillId="5" borderId="1" xfId="0" applyNumberFormat="1" applyFont="1" applyFill="1" applyBorder="1"/>
    <xf numFmtId="164" fontId="6" fillId="5" borderId="5" xfId="0" applyNumberFormat="1" applyFont="1" applyFill="1" applyBorder="1"/>
    <xf numFmtId="168" fontId="5" fillId="5" borderId="6" xfId="0" applyNumberFormat="1" applyFont="1" applyFill="1" applyBorder="1" applyAlignment="1">
      <alignment horizontal="left"/>
    </xf>
    <xf numFmtId="165" fontId="3" fillId="5" borderId="0" xfId="0" applyNumberFormat="1" applyFont="1" applyFill="1"/>
    <xf numFmtId="165" fontId="3" fillId="5" borderId="7" xfId="0" applyNumberFormat="1" applyFont="1" applyFill="1" applyBorder="1"/>
    <xf numFmtId="168" fontId="5" fillId="5" borderId="8" xfId="0" applyNumberFormat="1" applyFont="1" applyFill="1" applyBorder="1" applyAlignment="1">
      <alignment horizontal="left"/>
    </xf>
    <xf numFmtId="165" fontId="3" fillId="5" borderId="3" xfId="0" applyNumberFormat="1" applyFont="1" applyFill="1" applyBorder="1"/>
    <xf numFmtId="165" fontId="3" fillId="5" borderId="9" xfId="0" applyNumberFormat="1" applyFont="1" applyFill="1" applyBorder="1"/>
    <xf numFmtId="0" fontId="3" fillId="0" borderId="3" xfId="0" applyFont="1" applyBorder="1"/>
    <xf numFmtId="165" fontId="3" fillId="0" borderId="3" xfId="0" applyNumberFormat="1" applyFont="1" applyBorder="1"/>
    <xf numFmtId="165" fontId="7" fillId="0" borderId="3" xfId="0" applyNumberFormat="1" applyFont="1" applyBorder="1"/>
    <xf numFmtId="0" fontId="6" fillId="0" borderId="1" xfId="0" applyFont="1" applyBorder="1"/>
    <xf numFmtId="165" fontId="6" fillId="0" borderId="1" xfId="0" applyNumberFormat="1" applyFont="1" applyBorder="1"/>
    <xf numFmtId="9" fontId="3" fillId="0" borderId="0" xfId="1" applyFont="1"/>
    <xf numFmtId="0" fontId="3" fillId="6" borderId="0" xfId="0" applyFont="1" applyFill="1"/>
    <xf numFmtId="0" fontId="7" fillId="0" borderId="0" xfId="0" applyFont="1"/>
    <xf numFmtId="0" fontId="15" fillId="0" borderId="0" xfId="0" applyFont="1"/>
    <xf numFmtId="0" fontId="6" fillId="0" borderId="11" xfId="0" applyFont="1" applyBorder="1"/>
    <xf numFmtId="0" fontId="3" fillId="0" borderId="6" xfId="0" applyFont="1" applyBorder="1"/>
    <xf numFmtId="166" fontId="7" fillId="0" borderId="0" xfId="1" applyNumberFormat="1" applyFont="1" applyBorder="1"/>
    <xf numFmtId="0" fontId="3" fillId="0" borderId="8" xfId="0" applyFont="1" applyBorder="1"/>
    <xf numFmtId="166" fontId="7" fillId="0" borderId="3" xfId="1" applyNumberFormat="1" applyFont="1" applyBorder="1"/>
    <xf numFmtId="0" fontId="3" fillId="0" borderId="0" xfId="0" applyFont="1" applyAlignment="1">
      <alignment horizontal="left" indent="1"/>
    </xf>
    <xf numFmtId="0" fontId="4" fillId="2" borderId="12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7" fillId="0" borderId="7" xfId="0" applyFont="1" applyBorder="1"/>
    <xf numFmtId="0" fontId="7" fillId="0" borderId="9" xfId="0" applyFont="1" applyBorder="1"/>
    <xf numFmtId="169" fontId="6" fillId="0" borderId="0" xfId="0" applyNumberFormat="1" applyFont="1"/>
    <xf numFmtId="169" fontId="3" fillId="0" borderId="0" xfId="0" applyNumberFormat="1" applyFont="1"/>
    <xf numFmtId="169" fontId="16" fillId="0" borderId="0" xfId="0" applyNumberFormat="1" applyFont="1"/>
    <xf numFmtId="0" fontId="3" fillId="0" borderId="3" xfId="0" applyFont="1" applyBorder="1" applyAlignment="1">
      <alignment horizontal="left" indent="1"/>
    </xf>
    <xf numFmtId="169" fontId="3" fillId="0" borderId="3" xfId="0" applyNumberFormat="1" applyFont="1" applyBorder="1"/>
    <xf numFmtId="0" fontId="7" fillId="0" borderId="3" xfId="0" applyFont="1" applyBorder="1"/>
    <xf numFmtId="0" fontId="3" fillId="0" borderId="12" xfId="0" applyFont="1" applyBorder="1"/>
    <xf numFmtId="169" fontId="3" fillId="0" borderId="11" xfId="0" applyNumberFormat="1" applyFont="1" applyBorder="1"/>
    <xf numFmtId="169" fontId="3" fillId="0" borderId="13" xfId="0" applyNumberFormat="1" applyFont="1" applyBorder="1"/>
    <xf numFmtId="169" fontId="3" fillId="0" borderId="9" xfId="0" applyNumberFormat="1" applyFont="1" applyBorder="1"/>
    <xf numFmtId="0" fontId="4" fillId="0" borderId="0" xfId="0" applyFont="1"/>
    <xf numFmtId="0" fontId="11" fillId="0" borderId="0" xfId="0" applyFont="1"/>
    <xf numFmtId="164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17" fillId="0" borderId="0" xfId="0" applyFont="1"/>
    <xf numFmtId="0" fontId="3" fillId="0" borderId="0" xfId="0" applyFont="1" applyAlignment="1">
      <alignment horizontal="left"/>
    </xf>
    <xf numFmtId="9" fontId="6" fillId="0" borderId="3" xfId="1" applyFont="1" applyBorder="1"/>
    <xf numFmtId="165" fontId="6" fillId="0" borderId="3" xfId="0" applyNumberFormat="1" applyFont="1" applyBorder="1"/>
    <xf numFmtId="165" fontId="6" fillId="0" borderId="11" xfId="0" applyNumberFormat="1" applyFont="1" applyBorder="1"/>
    <xf numFmtId="0" fontId="3" fillId="0" borderId="10" xfId="0" applyFont="1" applyBorder="1"/>
    <xf numFmtId="0" fontId="18" fillId="0" borderId="0" xfId="0" applyFont="1"/>
    <xf numFmtId="0" fontId="19" fillId="0" borderId="0" xfId="0" applyFont="1"/>
    <xf numFmtId="0" fontId="3" fillId="0" borderId="0" xfId="0" applyFont="1" applyAlignment="1">
      <alignment horizontal="center"/>
    </xf>
    <xf numFmtId="0" fontId="20" fillId="0" borderId="0" xfId="0" applyFont="1"/>
    <xf numFmtId="0" fontId="15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center"/>
    </xf>
    <xf numFmtId="166" fontId="3" fillId="4" borderId="2" xfId="1" applyNumberFormat="1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37" fontId="21" fillId="0" borderId="0" xfId="0" applyNumberFormat="1" applyFont="1" applyAlignment="1">
      <alignment horizontal="right"/>
    </xf>
    <xf numFmtId="37" fontId="21" fillId="0" borderId="0" xfId="0" applyNumberFormat="1" applyFont="1"/>
    <xf numFmtId="9" fontId="5" fillId="0" borderId="0" xfId="1" applyFont="1"/>
    <xf numFmtId="0" fontId="11" fillId="0" borderId="0" xfId="0" applyFont="1" applyAlignment="1">
      <alignment horizontal="center"/>
    </xf>
    <xf numFmtId="0" fontId="3" fillId="0" borderId="0" xfId="0" quotePrefix="1" applyFont="1" applyAlignment="1">
      <alignment horizontal="right"/>
    </xf>
    <xf numFmtId="37" fontId="23" fillId="0" borderId="0" xfId="0" applyNumberFormat="1" applyFont="1"/>
    <xf numFmtId="37" fontId="11" fillId="0" borderId="0" xfId="0" applyNumberFormat="1" applyFont="1"/>
    <xf numFmtId="9" fontId="5" fillId="4" borderId="4" xfId="0" applyNumberFormat="1" applyFont="1" applyFill="1" applyBorder="1" applyAlignment="1">
      <alignment horizontal="right"/>
    </xf>
    <xf numFmtId="9" fontId="5" fillId="4" borderId="2" xfId="0" applyNumberFormat="1" applyFont="1" applyFill="1" applyBorder="1" applyAlignment="1">
      <alignment horizontal="right"/>
    </xf>
    <xf numFmtId="37" fontId="3" fillId="0" borderId="0" xfId="0" applyNumberFormat="1" applyFont="1"/>
    <xf numFmtId="0" fontId="4" fillId="2" borderId="0" xfId="0" applyFont="1" applyFill="1"/>
    <xf numFmtId="0" fontId="9" fillId="6" borderId="0" xfId="0" applyFont="1" applyFill="1"/>
    <xf numFmtId="164" fontId="4" fillId="2" borderId="0" xfId="0" applyNumberFormat="1" applyFont="1" applyFill="1"/>
    <xf numFmtId="171" fontId="4" fillId="2" borderId="0" xfId="0" applyNumberFormat="1" applyFont="1" applyFill="1"/>
    <xf numFmtId="167" fontId="4" fillId="2" borderId="0" xfId="0" applyNumberFormat="1" applyFont="1" applyFill="1"/>
    <xf numFmtId="167" fontId="4" fillId="0" borderId="0" xfId="0" applyNumberFormat="1" applyFont="1"/>
    <xf numFmtId="164" fontId="4" fillId="0" borderId="0" xfId="0" applyNumberFormat="1" applyFont="1"/>
    <xf numFmtId="0" fontId="5" fillId="0" borderId="0" xfId="0" applyFont="1" applyAlignment="1">
      <alignment horizontal="left" indent="1"/>
    </xf>
    <xf numFmtId="1" fontId="22" fillId="0" borderId="0" xfId="0" applyNumberFormat="1" applyFont="1"/>
    <xf numFmtId="9" fontId="5" fillId="0" borderId="0" xfId="1" applyFont="1" applyFill="1"/>
    <xf numFmtId="166" fontId="5" fillId="0" borderId="0" xfId="1" applyNumberFormat="1" applyFont="1"/>
    <xf numFmtId="0" fontId="11" fillId="2" borderId="0" xfId="0" applyFont="1" applyFill="1"/>
    <xf numFmtId="164" fontId="4" fillId="6" borderId="0" xfId="0" applyNumberFormat="1" applyFont="1" applyFill="1"/>
    <xf numFmtId="167" fontId="4" fillId="6" borderId="0" xfId="0" applyNumberFormat="1" applyFont="1" applyFill="1"/>
    <xf numFmtId="170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0" borderId="0" xfId="0" applyFont="1" applyAlignment="1">
      <alignment horizontal="left" indent="1"/>
    </xf>
    <xf numFmtId="9" fontId="5" fillId="0" borderId="0" xfId="0" applyNumberFormat="1" applyFont="1" applyAlignment="1">
      <alignment horizontal="right"/>
    </xf>
    <xf numFmtId="0" fontId="3" fillId="5" borderId="1" xfId="0" applyFont="1" applyFill="1" applyBorder="1"/>
    <xf numFmtId="37" fontId="3" fillId="5" borderId="1" xfId="0" applyNumberFormat="1" applyFont="1" applyFill="1" applyBorder="1"/>
    <xf numFmtId="0" fontId="24" fillId="0" borderId="0" xfId="0" applyFont="1" applyAlignment="1">
      <alignment horizontal="left" indent="1"/>
    </xf>
    <xf numFmtId="0" fontId="9" fillId="0" borderId="0" xfId="0" applyFont="1"/>
    <xf numFmtId="0" fontId="3" fillId="5" borderId="0" xfId="0" applyFont="1" applyFill="1"/>
    <xf numFmtId="9" fontId="3" fillId="0" borderId="3" xfId="1" applyFont="1" applyFill="1" applyBorder="1"/>
    <xf numFmtId="3" fontId="3" fillId="0" borderId="0" xfId="0" applyNumberFormat="1" applyFont="1"/>
    <xf numFmtId="166" fontId="3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7" fillId="4" borderId="2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9" fontId="3" fillId="0" borderId="0" xfId="0" applyNumberFormat="1" applyFont="1"/>
    <xf numFmtId="1" fontId="3" fillId="0" borderId="0" xfId="0" applyNumberFormat="1" applyFont="1" applyAlignment="1">
      <alignment horizontal="right"/>
    </xf>
    <xf numFmtId="166" fontId="7" fillId="4" borderId="2" xfId="1" applyNumberFormat="1" applyFont="1" applyFill="1" applyBorder="1" applyAlignment="1">
      <alignment horizontal="center"/>
    </xf>
    <xf numFmtId="170" fontId="7" fillId="4" borderId="2" xfId="0" applyNumberFormat="1" applyFont="1" applyFill="1" applyBorder="1" applyAlignment="1">
      <alignment horizontal="center"/>
    </xf>
    <xf numFmtId="0" fontId="3" fillId="5" borderId="3" xfId="0" applyFont="1" applyFill="1" applyBorder="1"/>
    <xf numFmtId="37" fontId="3" fillId="5" borderId="3" xfId="0" applyNumberFormat="1" applyFont="1" applyFill="1" applyBorder="1"/>
    <xf numFmtId="0" fontId="3" fillId="5" borderId="11" xfId="0" applyFont="1" applyFill="1" applyBorder="1"/>
    <xf numFmtId="37" fontId="3" fillId="5" borderId="11" xfId="0" applyNumberFormat="1" applyFont="1" applyFill="1" applyBorder="1"/>
    <xf numFmtId="166" fontId="25" fillId="4" borderId="2" xfId="1" applyNumberFormat="1" applyFont="1" applyFill="1" applyBorder="1" applyAlignment="1">
      <alignment horizontal="center"/>
    </xf>
    <xf numFmtId="165" fontId="26" fillId="0" borderId="0" xfId="0" applyNumberFormat="1" applyFont="1"/>
    <xf numFmtId="37" fontId="11" fillId="5" borderId="0" xfId="0" applyNumberFormat="1" applyFont="1" applyFill="1"/>
    <xf numFmtId="173" fontId="6" fillId="3" borderId="1" xfId="0" applyNumberFormat="1" applyFont="1" applyFill="1" applyBorder="1"/>
    <xf numFmtId="37" fontId="3" fillId="0" borderId="3" xfId="0" applyNumberFormat="1" applyFont="1" applyBorder="1"/>
    <xf numFmtId="37" fontId="6" fillId="0" borderId="0" xfId="0" applyNumberFormat="1" applyFont="1"/>
    <xf numFmtId="39" fontId="5" fillId="5" borderId="0" xfId="0" applyNumberFormat="1" applyFont="1" applyFill="1"/>
    <xf numFmtId="165" fontId="3" fillId="0" borderId="2" xfId="0" applyNumberFormat="1" applyFont="1" applyBorder="1"/>
    <xf numFmtId="165" fontId="11" fillId="0" borderId="2" xfId="0" applyNumberFormat="1" applyFont="1" applyBorder="1"/>
    <xf numFmtId="0" fontId="3" fillId="0" borderId="10" xfId="0" applyFont="1" applyBorder="1" applyAlignment="1">
      <alignment horizontal="center"/>
    </xf>
    <xf numFmtId="37" fontId="30" fillId="4" borderId="2" xfId="0" applyNumberFormat="1" applyFont="1" applyFill="1" applyBorder="1"/>
    <xf numFmtId="166" fontId="30" fillId="4" borderId="2" xfId="0" applyNumberFormat="1" applyFont="1" applyFill="1" applyBorder="1"/>
    <xf numFmtId="0" fontId="6" fillId="5" borderId="6" xfId="0" applyFont="1" applyFill="1" applyBorder="1"/>
    <xf numFmtId="173" fontId="17" fillId="5" borderId="7" xfId="0" applyNumberFormat="1" applyFont="1" applyFill="1" applyBorder="1"/>
    <xf numFmtId="0" fontId="6" fillId="5" borderId="8" xfId="0" applyFont="1" applyFill="1" applyBorder="1"/>
    <xf numFmtId="166" fontId="17" fillId="5" borderId="9" xfId="1" applyNumberFormat="1" applyFont="1" applyFill="1" applyBorder="1"/>
    <xf numFmtId="0" fontId="15" fillId="0" borderId="0" xfId="0" applyFont="1" applyAlignment="1">
      <alignment horizontal="right"/>
    </xf>
    <xf numFmtId="173" fontId="11" fillId="0" borderId="0" xfId="0" applyNumberFormat="1" applyFont="1"/>
    <xf numFmtId="173" fontId="17" fillId="0" borderId="0" xfId="0" applyNumberFormat="1" applyFont="1"/>
    <xf numFmtId="166" fontId="6" fillId="0" borderId="0" xfId="1" applyNumberFormat="1" applyFont="1"/>
    <xf numFmtId="37" fontId="6" fillId="5" borderId="1" xfId="0" applyNumberFormat="1" applyFont="1" applyFill="1" applyBorder="1"/>
    <xf numFmtId="173" fontId="17" fillId="5" borderId="1" xfId="0" applyNumberFormat="1" applyFont="1" applyFill="1" applyBorder="1"/>
    <xf numFmtId="166" fontId="31" fillId="0" borderId="0" xfId="0" applyNumberFormat="1" applyFont="1"/>
    <xf numFmtId="166" fontId="29" fillId="0" borderId="0" xfId="0" applyNumberFormat="1" applyFont="1"/>
    <xf numFmtId="37" fontId="6" fillId="5" borderId="5" xfId="0" applyNumberFormat="1" applyFont="1" applyFill="1" applyBorder="1"/>
    <xf numFmtId="0" fontId="4" fillId="6" borderId="0" xfId="0" applyFont="1" applyFill="1" applyAlignment="1">
      <alignment horizontal="right"/>
    </xf>
    <xf numFmtId="0" fontId="4" fillId="6" borderId="12" xfId="0" applyFont="1" applyFill="1" applyBorder="1"/>
    <xf numFmtId="0" fontId="3" fillId="6" borderId="11" xfId="0" applyFont="1" applyFill="1" applyBorder="1"/>
    <xf numFmtId="0" fontId="4" fillId="6" borderId="11" xfId="0" applyFont="1" applyFill="1" applyBorder="1" applyAlignment="1">
      <alignment horizontal="right"/>
    </xf>
    <xf numFmtId="0" fontId="4" fillId="6" borderId="13" xfId="0" applyFont="1" applyFill="1" applyBorder="1" applyAlignment="1">
      <alignment horizontal="right"/>
    </xf>
    <xf numFmtId="37" fontId="25" fillId="0" borderId="2" xfId="0" applyNumberFormat="1" applyFont="1" applyBorder="1"/>
    <xf numFmtId="37" fontId="11" fillId="0" borderId="2" xfId="0" applyNumberFormat="1" applyFont="1" applyBorder="1"/>
    <xf numFmtId="173" fontId="30" fillId="4" borderId="2" xfId="0" applyNumberFormat="1" applyFont="1" applyFill="1" applyBorder="1"/>
    <xf numFmtId="37" fontId="11" fillId="0" borderId="3" xfId="0" applyNumberFormat="1" applyFont="1" applyBorder="1"/>
    <xf numFmtId="166" fontId="3" fillId="0" borderId="3" xfId="1" applyNumberFormat="1" applyFont="1" applyBorder="1"/>
    <xf numFmtId="37" fontId="25" fillId="4" borderId="2" xfId="0" applyNumberFormat="1" applyFont="1" applyFill="1" applyBorder="1"/>
    <xf numFmtId="37" fontId="11" fillId="0" borderId="7" xfId="0" applyNumberFormat="1" applyFont="1" applyBorder="1"/>
    <xf numFmtId="0" fontId="3" fillId="0" borderId="7" xfId="0" quotePrefix="1" applyFont="1" applyBorder="1"/>
    <xf numFmtId="0" fontId="3" fillId="0" borderId="7" xfId="0" applyFont="1" applyBorder="1"/>
    <xf numFmtId="166" fontId="29" fillId="0" borderId="7" xfId="0" applyNumberFormat="1" applyFont="1" applyBorder="1"/>
    <xf numFmtId="0" fontId="6" fillId="5" borderId="5" xfId="0" applyFont="1" applyFill="1" applyBorder="1"/>
    <xf numFmtId="0" fontId="3" fillId="0" borderId="9" xfId="0" applyFont="1" applyBorder="1"/>
    <xf numFmtId="37" fontId="17" fillId="0" borderId="7" xfId="0" applyNumberFormat="1" applyFont="1" applyBorder="1"/>
    <xf numFmtId="37" fontId="6" fillId="0" borderId="7" xfId="0" applyNumberFormat="1" applyFont="1" applyBorder="1"/>
    <xf numFmtId="0" fontId="3" fillId="2" borderId="7" xfId="0" applyFont="1" applyFill="1" applyBorder="1"/>
    <xf numFmtId="173" fontId="11" fillId="0" borderId="3" xfId="0" applyNumberFormat="1" applyFont="1" applyBorder="1"/>
    <xf numFmtId="166" fontId="3" fillId="0" borderId="0" xfId="1" applyNumberFormat="1" applyFont="1" applyBorder="1"/>
    <xf numFmtId="173" fontId="3" fillId="0" borderId="3" xfId="0" applyNumberFormat="1" applyFont="1" applyBorder="1"/>
    <xf numFmtId="37" fontId="25" fillId="0" borderId="3" xfId="0" applyNumberFormat="1" applyFont="1" applyBorder="1"/>
    <xf numFmtId="9" fontId="3" fillId="0" borderId="3" xfId="1" applyFont="1" applyBorder="1"/>
    <xf numFmtId="9" fontId="3" fillId="0" borderId="0" xfId="1" applyFont="1" applyBorder="1"/>
    <xf numFmtId="9" fontId="6" fillId="0" borderId="0" xfId="1" applyFont="1" applyBorder="1"/>
    <xf numFmtId="9" fontId="3" fillId="0" borderId="0" xfId="1" applyFont="1" applyFill="1" applyBorder="1"/>
    <xf numFmtId="9" fontId="11" fillId="0" borderId="0" xfId="1" applyFont="1" applyFill="1" applyBorder="1"/>
    <xf numFmtId="0" fontId="9" fillId="2" borderId="0" xfId="0" applyFont="1" applyFill="1"/>
    <xf numFmtId="0" fontId="10" fillId="0" borderId="0" xfId="0" applyFont="1"/>
    <xf numFmtId="0" fontId="35" fillId="2" borderId="0" xfId="0" applyFont="1" applyFill="1"/>
    <xf numFmtId="0" fontId="10" fillId="2" borderId="0" xfId="0" applyFont="1" applyFill="1"/>
    <xf numFmtId="173" fontId="3" fillId="0" borderId="0" xfId="0" applyNumberFormat="1" applyFont="1"/>
    <xf numFmtId="0" fontId="4" fillId="2" borderId="12" xfId="0" applyFont="1" applyFill="1" applyBorder="1" applyAlignment="1">
      <alignment horizontal="centerContinuous"/>
    </xf>
    <xf numFmtId="0" fontId="4" fillId="2" borderId="11" xfId="0" applyFont="1" applyFill="1" applyBorder="1" applyAlignment="1">
      <alignment horizontal="centerContinuous"/>
    </xf>
    <xf numFmtId="0" fontId="35" fillId="2" borderId="15" xfId="0" applyFont="1" applyFill="1" applyBorder="1" applyAlignment="1">
      <alignment horizontal="centerContinuous"/>
    </xf>
    <xf numFmtId="0" fontId="35" fillId="2" borderId="15" xfId="0" applyFont="1" applyFill="1" applyBorder="1"/>
    <xf numFmtId="0" fontId="3" fillId="2" borderId="11" xfId="0" applyFont="1" applyFill="1" applyBorder="1" applyAlignment="1">
      <alignment horizontal="centerContinuous"/>
    </xf>
    <xf numFmtId="0" fontId="3" fillId="2" borderId="15" xfId="0" applyFont="1" applyFill="1" applyBorder="1" applyAlignment="1">
      <alignment horizontal="centerContinuous"/>
    </xf>
    <xf numFmtId="0" fontId="3" fillId="2" borderId="11" xfId="0" applyFont="1" applyFill="1" applyBorder="1"/>
    <xf numFmtId="0" fontId="35" fillId="2" borderId="13" xfId="0" applyFont="1" applyFill="1" applyBorder="1" applyAlignment="1">
      <alignment horizontal="left"/>
    </xf>
    <xf numFmtId="0" fontId="3" fillId="2" borderId="6" xfId="0" applyFont="1" applyFill="1" applyBorder="1"/>
    <xf numFmtId="0" fontId="4" fillId="2" borderId="7" xfId="0" applyFont="1" applyFill="1" applyBorder="1"/>
    <xf numFmtId="0" fontId="4" fillId="2" borderId="6" xfId="0" applyFont="1" applyFill="1" applyBorder="1" applyAlignment="1">
      <alignment horizontal="right"/>
    </xf>
    <xf numFmtId="0" fontId="10" fillId="2" borderId="7" xfId="0" applyFont="1" applyFill="1" applyBorder="1"/>
    <xf numFmtId="174" fontId="3" fillId="0" borderId="6" xfId="0" applyNumberFormat="1" applyFont="1" applyBorder="1"/>
    <xf numFmtId="0" fontId="4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173" fontId="6" fillId="0" borderId="0" xfId="0" applyNumberFormat="1" applyFont="1"/>
    <xf numFmtId="0" fontId="5" fillId="0" borderId="0" xfId="0" applyFont="1" applyAlignment="1">
      <alignment horizontal="right" indent="1"/>
    </xf>
    <xf numFmtId="0" fontId="24" fillId="0" borderId="0" xfId="0" applyFont="1" applyAlignment="1">
      <alignment horizontal="right" indent="1"/>
    </xf>
    <xf numFmtId="173" fontId="11" fillId="0" borderId="0" xfId="1" applyNumberFormat="1" applyFont="1" applyFill="1" applyBorder="1"/>
    <xf numFmtId="173" fontId="11" fillId="0" borderId="12" xfId="1" applyNumberFormat="1" applyFont="1" applyFill="1" applyBorder="1"/>
    <xf numFmtId="173" fontId="11" fillId="0" borderId="11" xfId="1" applyNumberFormat="1" applyFont="1" applyFill="1" applyBorder="1"/>
    <xf numFmtId="173" fontId="11" fillId="0" borderId="13" xfId="1" applyNumberFormat="1" applyFont="1" applyFill="1" applyBorder="1"/>
    <xf numFmtId="173" fontId="11" fillId="0" borderId="6" xfId="1" applyNumberFormat="1" applyFont="1" applyFill="1" applyBorder="1"/>
    <xf numFmtId="173" fontId="11" fillId="0" borderId="7" xfId="1" applyNumberFormat="1" applyFont="1" applyFill="1" applyBorder="1"/>
    <xf numFmtId="173" fontId="11" fillId="0" borderId="8" xfId="1" applyNumberFormat="1" applyFont="1" applyFill="1" applyBorder="1"/>
    <xf numFmtId="173" fontId="11" fillId="0" borderId="3" xfId="1" applyNumberFormat="1" applyFont="1" applyFill="1" applyBorder="1"/>
    <xf numFmtId="173" fontId="11" fillId="0" borderId="9" xfId="1" applyNumberFormat="1" applyFont="1" applyFill="1" applyBorder="1"/>
    <xf numFmtId="173" fontId="17" fillId="0" borderId="0" xfId="1" applyNumberFormat="1" applyFont="1" applyFill="1" applyBorder="1"/>
    <xf numFmtId="3" fontId="11" fillId="0" borderId="0" xfId="0" applyNumberFormat="1" applyFont="1"/>
    <xf numFmtId="166" fontId="10" fillId="0" borderId="0" xfId="1" applyNumberFormat="1" applyFont="1" applyFill="1" applyAlignment="1">
      <alignment horizontal="center" vertical="center"/>
    </xf>
    <xf numFmtId="3" fontId="11" fillId="0" borderId="0" xfId="1" applyNumberFormat="1" applyFont="1" applyFill="1"/>
    <xf numFmtId="37" fontId="25" fillId="0" borderId="0" xfId="0" applyNumberFormat="1" applyFont="1"/>
    <xf numFmtId="37" fontId="17" fillId="0" borderId="0" xfId="0" applyNumberFormat="1" applyFont="1"/>
    <xf numFmtId="2" fontId="3" fillId="0" borderId="0" xfId="0" applyNumberFormat="1" applyFont="1"/>
    <xf numFmtId="0" fontId="32" fillId="0" borderId="0" xfId="0" applyFont="1" applyAlignment="1">
      <alignment vertical="center" textRotation="90"/>
    </xf>
    <xf numFmtId="3" fontId="17" fillId="0" borderId="0" xfId="0" applyNumberFormat="1" applyFont="1"/>
    <xf numFmtId="166" fontId="17" fillId="0" borderId="0" xfId="1" applyNumberFormat="1" applyFont="1" applyFill="1" applyBorder="1"/>
    <xf numFmtId="0" fontId="34" fillId="0" borderId="0" xfId="0" applyFont="1"/>
    <xf numFmtId="9" fontId="6" fillId="0" borderId="0" xfId="0" applyNumberFormat="1" applyFont="1"/>
    <xf numFmtId="37" fontId="4" fillId="6" borderId="0" xfId="0" applyNumberFormat="1" applyFont="1" applyFill="1"/>
    <xf numFmtId="173" fontId="4" fillId="6" borderId="0" xfId="0" applyNumberFormat="1" applyFont="1" applyFill="1"/>
    <xf numFmtId="9" fontId="4" fillId="6" borderId="0" xfId="1" applyFont="1" applyFill="1" applyBorder="1"/>
    <xf numFmtId="0" fontId="4" fillId="6" borderId="0" xfId="0" applyFont="1" applyFill="1" applyAlignment="1">
      <alignment horizontal="left"/>
    </xf>
    <xf numFmtId="0" fontId="3" fillId="0" borderId="6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/>
    <xf numFmtId="0" fontId="0" fillId="2" borderId="0" xfId="0" applyFill="1"/>
    <xf numFmtId="0" fontId="36" fillId="2" borderId="0" xfId="0" applyFont="1" applyFill="1"/>
    <xf numFmtId="0" fontId="37" fillId="2" borderId="0" xfId="0" applyFont="1" applyFill="1"/>
    <xf numFmtId="175" fontId="3" fillId="0" borderId="0" xfId="0" applyNumberFormat="1" applyFont="1"/>
    <xf numFmtId="173" fontId="25" fillId="0" borderId="0" xfId="0" applyNumberFormat="1" applyFont="1"/>
    <xf numFmtId="0" fontId="36" fillId="2" borderId="0" xfId="0" applyFont="1" applyFill="1" applyAlignment="1">
      <alignment horizontal="right"/>
    </xf>
    <xf numFmtId="0" fontId="38" fillId="5" borderId="12" xfId="0" applyFont="1" applyFill="1" applyBorder="1"/>
    <xf numFmtId="0" fontId="39" fillId="5" borderId="11" xfId="0" applyFont="1" applyFill="1" applyBorder="1" applyAlignment="1">
      <alignment horizontal="right" indent="1"/>
    </xf>
    <xf numFmtId="173" fontId="38" fillId="5" borderId="11" xfId="0" applyNumberFormat="1" applyFont="1" applyFill="1" applyBorder="1"/>
    <xf numFmtId="0" fontId="38" fillId="5" borderId="11" xfId="0" applyFont="1" applyFill="1" applyBorder="1"/>
    <xf numFmtId="0" fontId="38" fillId="5" borderId="13" xfId="0" applyFont="1" applyFill="1" applyBorder="1"/>
    <xf numFmtId="0" fontId="38" fillId="5" borderId="6" xfId="0" applyFont="1" applyFill="1" applyBorder="1"/>
    <xf numFmtId="0" fontId="39" fillId="5" borderId="0" xfId="0" applyFont="1" applyFill="1" applyAlignment="1">
      <alignment horizontal="right" indent="1"/>
    </xf>
    <xf numFmtId="173" fontId="38" fillId="5" borderId="0" xfId="0" applyNumberFormat="1" applyFont="1" applyFill="1"/>
    <xf numFmtId="0" fontId="38" fillId="5" borderId="0" xfId="0" applyFont="1" applyFill="1"/>
    <xf numFmtId="0" fontId="38" fillId="5" borderId="7" xfId="0" applyFont="1" applyFill="1" applyBorder="1"/>
    <xf numFmtId="0" fontId="33" fillId="5" borderId="6" xfId="0" applyFont="1" applyFill="1" applyBorder="1"/>
    <xf numFmtId="0" fontId="40" fillId="5" borderId="0" xfId="0" applyFont="1" applyFill="1" applyAlignment="1">
      <alignment horizontal="right" indent="1"/>
    </xf>
    <xf numFmtId="173" fontId="33" fillId="5" borderId="0" xfId="0" applyNumberFormat="1" applyFont="1" applyFill="1"/>
    <xf numFmtId="0" fontId="33" fillId="5" borderId="0" xfId="0" applyFont="1" applyFill="1"/>
    <xf numFmtId="0" fontId="33" fillId="5" borderId="7" xfId="0" applyFont="1" applyFill="1" applyBorder="1"/>
    <xf numFmtId="0" fontId="38" fillId="5" borderId="8" xfId="0" applyFont="1" applyFill="1" applyBorder="1"/>
    <xf numFmtId="0" fontId="39" fillId="5" borderId="3" xfId="0" applyFont="1" applyFill="1" applyBorder="1" applyAlignment="1">
      <alignment horizontal="right" indent="1"/>
    </xf>
    <xf numFmtId="173" fontId="38" fillId="5" borderId="3" xfId="0" applyNumberFormat="1" applyFont="1" applyFill="1" applyBorder="1"/>
    <xf numFmtId="0" fontId="38" fillId="5" borderId="3" xfId="0" applyFont="1" applyFill="1" applyBorder="1"/>
    <xf numFmtId="0" fontId="38" fillId="5" borderId="9" xfId="0" applyFont="1" applyFill="1" applyBorder="1"/>
    <xf numFmtId="0" fontId="37" fillId="2" borderId="14" xfId="0" applyFont="1" applyFill="1" applyBorder="1" applyAlignment="1">
      <alignment horizontal="centerContinuous"/>
    </xf>
    <xf numFmtId="0" fontId="8" fillId="2" borderId="0" xfId="0" applyFont="1" applyFill="1"/>
    <xf numFmtId="173" fontId="6" fillId="5" borderId="2" xfId="0" applyNumberFormat="1" applyFont="1" applyFill="1" applyBorder="1"/>
    <xf numFmtId="37" fontId="11" fillId="0" borderId="9" xfId="0" applyNumberFormat="1" applyFont="1" applyBorder="1"/>
    <xf numFmtId="0" fontId="4" fillId="2" borderId="0" xfId="0" applyFont="1" applyFill="1" applyAlignment="1">
      <alignment horizontal="centerContinuous"/>
    </xf>
    <xf numFmtId="0" fontId="33" fillId="0" borderId="16" xfId="0" applyFont="1" applyBorder="1"/>
    <xf numFmtId="164" fontId="33" fillId="0" borderId="16" xfId="0" applyNumberFormat="1" applyFont="1" applyBorder="1"/>
    <xf numFmtId="167" fontId="33" fillId="0" borderId="16" xfId="0" applyNumberFormat="1" applyFont="1" applyBorder="1"/>
    <xf numFmtId="0" fontId="6" fillId="3" borderId="17" xfId="0" applyFont="1" applyFill="1" applyBorder="1"/>
    <xf numFmtId="37" fontId="6" fillId="3" borderId="17" xfId="0" applyNumberFormat="1" applyFont="1" applyFill="1" applyBorder="1"/>
    <xf numFmtId="0" fontId="33" fillId="0" borderId="0" xfId="0" applyFont="1" applyAlignment="1">
      <alignment horizontal="center"/>
    </xf>
    <xf numFmtId="167" fontId="33" fillId="0" borderId="0" xfId="0" applyNumberFormat="1" applyFont="1" applyAlignment="1">
      <alignment horizontal="center"/>
    </xf>
    <xf numFmtId="172" fontId="33" fillId="0" borderId="0" xfId="0" applyNumberFormat="1" applyFont="1"/>
    <xf numFmtId="166" fontId="40" fillId="0" borderId="0" xfId="1" applyNumberFormat="1" applyFont="1" applyFill="1" applyBorder="1" applyAlignment="1">
      <alignment horizontal="center" vertical="center"/>
    </xf>
    <xf numFmtId="166" fontId="33" fillId="0" borderId="0" xfId="1" applyNumberFormat="1" applyFont="1" applyFill="1"/>
    <xf numFmtId="3" fontId="4" fillId="0" borderId="0" xfId="0" applyNumberFormat="1" applyFont="1"/>
    <xf numFmtId="172" fontId="4" fillId="0" borderId="0" xfId="0" applyNumberFormat="1" applyFont="1"/>
    <xf numFmtId="9" fontId="5" fillId="0" borderId="20" xfId="1" applyFont="1" applyBorder="1"/>
    <xf numFmtId="37" fontId="6" fillId="3" borderId="18" xfId="0" applyNumberFormat="1" applyFont="1" applyFill="1" applyBorder="1"/>
    <xf numFmtId="37" fontId="3" fillId="0" borderId="20" xfId="0" applyNumberFormat="1" applyFont="1" applyBorder="1"/>
    <xf numFmtId="0" fontId="3" fillId="0" borderId="20" xfId="0" applyFont="1" applyBorder="1"/>
    <xf numFmtId="9" fontId="5" fillId="0" borderId="0" xfId="1" applyFont="1" applyBorder="1"/>
    <xf numFmtId="173" fontId="11" fillId="0" borderId="0" xfId="1" applyNumberFormat="1" applyFont="1" applyFill="1" applyAlignment="1">
      <alignment horizontal="center"/>
    </xf>
    <xf numFmtId="173" fontId="11" fillId="0" borderId="0" xfId="0" applyNumberFormat="1" applyFont="1" applyAlignment="1">
      <alignment horizontal="center"/>
    </xf>
    <xf numFmtId="173" fontId="11" fillId="0" borderId="0" xfId="1" applyNumberFormat="1" applyFont="1" applyFill="1" applyBorder="1" applyAlignment="1">
      <alignment horizontal="center"/>
    </xf>
    <xf numFmtId="0" fontId="35" fillId="0" borderId="0" xfId="0" applyFont="1" applyAlignment="1">
      <alignment vertical="center" textRotation="90"/>
    </xf>
    <xf numFmtId="176" fontId="41" fillId="0" borderId="0" xfId="1" applyNumberFormat="1" applyFont="1" applyFill="1" applyBorder="1" applyAlignment="1">
      <alignment horizontal="center" vertical="center"/>
    </xf>
    <xf numFmtId="177" fontId="41" fillId="0" borderId="0" xfId="1" applyNumberFormat="1" applyFont="1" applyFill="1" applyBorder="1" applyAlignment="1">
      <alignment horizontal="center" vertical="center"/>
    </xf>
    <xf numFmtId="178" fontId="41" fillId="0" borderId="0" xfId="1" applyNumberFormat="1" applyFont="1" applyFill="1" applyBorder="1" applyAlignment="1">
      <alignment horizontal="center" vertical="center"/>
    </xf>
    <xf numFmtId="179" fontId="3" fillId="0" borderId="0" xfId="0" applyNumberFormat="1" applyFont="1"/>
    <xf numFmtId="179" fontId="3" fillId="0" borderId="19" xfId="0" applyNumberFormat="1" applyFont="1" applyBorder="1"/>
    <xf numFmtId="179" fontId="6" fillId="3" borderId="17" xfId="0" applyNumberFormat="1" applyFont="1" applyFill="1" applyBorder="1"/>
    <xf numFmtId="9" fontId="5" fillId="0" borderId="0" xfId="1" applyFont="1" applyBorder="1" applyAlignment="1"/>
    <xf numFmtId="179" fontId="6" fillId="3" borderId="18" xfId="0" applyNumberFormat="1" applyFont="1" applyFill="1" applyBorder="1"/>
    <xf numFmtId="180" fontId="11" fillId="0" borderId="0" xfId="1" applyNumberFormat="1" applyFont="1" applyFill="1" applyBorder="1" applyAlignment="1">
      <alignment horizontal="center"/>
    </xf>
    <xf numFmtId="180" fontId="11" fillId="0" borderId="0" xfId="0" applyNumberFormat="1" applyFont="1" applyAlignment="1">
      <alignment horizontal="center"/>
    </xf>
    <xf numFmtId="173" fontId="11" fillId="5" borderId="21" xfId="0" applyNumberFormat="1" applyFont="1" applyFill="1" applyBorder="1" applyAlignment="1">
      <alignment horizontal="center"/>
    </xf>
    <xf numFmtId="9" fontId="41" fillId="0" borderId="0" xfId="1" applyFont="1" applyFill="1" applyBorder="1" applyAlignment="1">
      <alignment horizontal="center" vertical="center"/>
    </xf>
    <xf numFmtId="166" fontId="33" fillId="0" borderId="22" xfId="1" applyNumberFormat="1" applyFont="1" applyFill="1" applyBorder="1" applyAlignment="1">
      <alignment horizontal="center" vertical="center"/>
    </xf>
    <xf numFmtId="166" fontId="33" fillId="0" borderId="16" xfId="1" applyNumberFormat="1" applyFont="1" applyFill="1" applyBorder="1" applyAlignment="1">
      <alignment horizontal="center"/>
    </xf>
    <xf numFmtId="176" fontId="41" fillId="0" borderId="22" xfId="1" applyNumberFormat="1" applyFont="1" applyFill="1" applyBorder="1" applyAlignment="1">
      <alignment horizontal="center" vertical="center"/>
    </xf>
    <xf numFmtId="177" fontId="41" fillId="0" borderId="22" xfId="1" applyNumberFormat="1" applyFont="1" applyFill="1" applyBorder="1" applyAlignment="1">
      <alignment horizontal="center" vertical="center"/>
    </xf>
    <xf numFmtId="178" fontId="41" fillId="0" borderId="22" xfId="1" applyNumberFormat="1" applyFont="1" applyFill="1" applyBorder="1" applyAlignment="1">
      <alignment horizontal="center" vertical="center"/>
    </xf>
    <xf numFmtId="176" fontId="41" fillId="0" borderId="16" xfId="1" applyNumberFormat="1" applyFont="1" applyFill="1" applyBorder="1" applyAlignment="1">
      <alignment horizontal="center" vertical="center"/>
    </xf>
    <xf numFmtId="177" fontId="41" fillId="0" borderId="16" xfId="1" applyNumberFormat="1" applyFont="1" applyFill="1" applyBorder="1" applyAlignment="1">
      <alignment horizontal="center" vertical="center"/>
    </xf>
    <xf numFmtId="178" fontId="41" fillId="0" borderId="16" xfId="1" applyNumberFormat="1" applyFont="1" applyFill="1" applyBorder="1" applyAlignment="1">
      <alignment horizontal="center" vertical="center"/>
    </xf>
    <xf numFmtId="180" fontId="11" fillId="5" borderId="21" xfId="0" applyNumberFormat="1" applyFont="1" applyFill="1" applyBorder="1" applyAlignment="1">
      <alignment horizontal="center"/>
    </xf>
    <xf numFmtId="173" fontId="33" fillId="0" borderId="16" xfId="1" applyNumberFormat="1" applyFont="1" applyFill="1" applyBorder="1" applyAlignment="1">
      <alignment horizontal="center"/>
    </xf>
    <xf numFmtId="9" fontId="6" fillId="3" borderId="17" xfId="1" applyFont="1" applyFill="1" applyBorder="1"/>
    <xf numFmtId="0" fontId="6" fillId="0" borderId="23" xfId="0" applyFont="1" applyBorder="1"/>
    <xf numFmtId="9" fontId="6" fillId="0" borderId="23" xfId="1" applyFont="1" applyBorder="1"/>
    <xf numFmtId="180" fontId="3" fillId="0" borderId="0" xfId="0" applyNumberFormat="1" applyFont="1"/>
    <xf numFmtId="180" fontId="6" fillId="3" borderId="17" xfId="0" applyNumberFormat="1" applyFont="1" applyFill="1" applyBorder="1"/>
    <xf numFmtId="179" fontId="6" fillId="0" borderId="23" xfId="0" applyNumberFormat="1" applyFont="1" applyBorder="1"/>
    <xf numFmtId="0" fontId="38" fillId="0" borderId="0" xfId="0" applyFont="1" applyAlignment="1">
      <alignment horizontal="right"/>
    </xf>
    <xf numFmtId="0" fontId="33" fillId="0" borderId="16" xfId="0" applyFont="1" applyBorder="1" applyAlignment="1">
      <alignment horizontal="centerContinuous"/>
    </xf>
    <xf numFmtId="0" fontId="33" fillId="0" borderId="16" xfId="0" applyFont="1" applyBorder="1" applyAlignment="1">
      <alignment horizontal="right"/>
    </xf>
    <xf numFmtId="166" fontId="6" fillId="5" borderId="1" xfId="1" applyNumberFormat="1" applyFont="1" applyFill="1" applyBorder="1"/>
    <xf numFmtId="172" fontId="42" fillId="0" borderId="0" xfId="0" applyNumberFormat="1" applyFont="1"/>
    <xf numFmtId="173" fontId="33" fillId="0" borderId="22" xfId="0" applyNumberFormat="1" applyFont="1" applyBorder="1" applyAlignment="1">
      <alignment horizontal="center"/>
    </xf>
    <xf numFmtId="173" fontId="33" fillId="0" borderId="16" xfId="0" applyNumberFormat="1" applyFont="1" applyBorder="1"/>
    <xf numFmtId="0" fontId="43" fillId="2" borderId="0" xfId="0" applyFont="1" applyFill="1" applyAlignment="1">
      <alignment vertical="center" textRotation="90"/>
    </xf>
    <xf numFmtId="9" fontId="33" fillId="0" borderId="22" xfId="1" applyFont="1" applyFill="1" applyBorder="1" applyAlignment="1">
      <alignment horizontal="center"/>
    </xf>
    <xf numFmtId="175" fontId="33" fillId="0" borderId="16" xfId="1" applyNumberFormat="1" applyFont="1" applyFill="1" applyBorder="1"/>
    <xf numFmtId="181" fontId="4" fillId="6" borderId="0" xfId="0" applyNumberFormat="1" applyFont="1" applyFill="1" applyAlignment="1">
      <alignment horizontal="center"/>
    </xf>
    <xf numFmtId="181" fontId="4" fillId="6" borderId="0" xfId="0" applyNumberFormat="1" applyFont="1" applyFill="1"/>
    <xf numFmtId="181" fontId="4" fillId="2" borderId="0" xfId="0" applyNumberFormat="1" applyFont="1" applyFill="1"/>
    <xf numFmtId="181" fontId="33" fillId="0" borderId="16" xfId="0" applyNumberFormat="1" applyFont="1" applyBorder="1"/>
    <xf numFmtId="0" fontId="38" fillId="0" borderId="16" xfId="0" applyFont="1" applyBorder="1"/>
    <xf numFmtId="0" fontId="38" fillId="0" borderId="16" xfId="0" applyFont="1" applyBorder="1" applyAlignment="1">
      <alignment horizontal="centerContinuous"/>
    </xf>
    <xf numFmtId="0" fontId="38" fillId="2" borderId="0" xfId="0" applyFont="1" applyFill="1" applyAlignment="1">
      <alignment horizontal="centerContinuous"/>
    </xf>
    <xf numFmtId="0" fontId="3" fillId="0" borderId="16" xfId="0" applyFont="1" applyBorder="1"/>
    <xf numFmtId="10" fontId="7" fillId="4" borderId="24" xfId="0" applyNumberFormat="1" applyFont="1" applyFill="1" applyBorder="1" applyAlignment="1">
      <alignment horizontal="right"/>
    </xf>
    <xf numFmtId="166" fontId="6" fillId="3" borderId="17" xfId="0" applyNumberFormat="1" applyFont="1" applyFill="1" applyBorder="1"/>
    <xf numFmtId="0" fontId="3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2" fontId="3" fillId="5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16" xfId="0" applyFont="1" applyBorder="1"/>
    <xf numFmtId="0" fontId="3" fillId="0" borderId="16" xfId="0" applyFont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9" fontId="3" fillId="0" borderId="16" xfId="1" applyFont="1" applyFill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5" fillId="0" borderId="23" xfId="0" applyFont="1" applyBorder="1"/>
    <xf numFmtId="0" fontId="3" fillId="0" borderId="23" xfId="0" applyFont="1" applyBorder="1"/>
    <xf numFmtId="0" fontId="3" fillId="0" borderId="23" xfId="0" applyFont="1" applyBorder="1" applyAlignment="1">
      <alignment horizontal="center"/>
    </xf>
    <xf numFmtId="166" fontId="3" fillId="0" borderId="23" xfId="1" applyNumberFormat="1" applyFont="1" applyFill="1" applyBorder="1" applyAlignment="1">
      <alignment horizontal="center"/>
    </xf>
    <xf numFmtId="9" fontId="3" fillId="0" borderId="23" xfId="1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3" borderId="25" xfId="0" applyNumberFormat="1" applyFont="1" applyFill="1" applyBorder="1" applyAlignment="1">
      <alignment horizontal="center"/>
    </xf>
    <xf numFmtId="182" fontId="7" fillId="5" borderId="0" xfId="0" applyNumberFormat="1" applyFont="1" applyFill="1" applyAlignment="1">
      <alignment horizontal="center"/>
    </xf>
    <xf numFmtId="182" fontId="3" fillId="0" borderId="0" xfId="0" applyNumberFormat="1" applyFont="1"/>
    <xf numFmtId="182" fontId="3" fillId="0" borderId="23" xfId="0" applyNumberFormat="1" applyFont="1" applyBorder="1" applyAlignment="1">
      <alignment horizontal="center"/>
    </xf>
    <xf numFmtId="182" fontId="3" fillId="0" borderId="16" xfId="0" applyNumberFormat="1" applyFont="1" applyBorder="1" applyAlignment="1">
      <alignment horizontal="center"/>
    </xf>
    <xf numFmtId="0" fontId="34" fillId="2" borderId="0" xfId="0" applyFont="1" applyFill="1" applyAlignment="1">
      <alignment horizontal="center"/>
    </xf>
    <xf numFmtId="0" fontId="35" fillId="0" borderId="0" xfId="0" applyFont="1" applyAlignment="1">
      <alignment horizontal="center" vertical="center" textRotation="90"/>
    </xf>
    <xf numFmtId="0" fontId="34" fillId="0" borderId="0" xfId="0" applyFont="1" applyAlignment="1">
      <alignment horizontal="center"/>
    </xf>
    <xf numFmtId="0" fontId="35" fillId="2" borderId="0" xfId="0" applyFont="1" applyFill="1" applyAlignment="1">
      <alignment horizontal="center" vertical="center" textRotation="90"/>
    </xf>
  </cellXfs>
  <cellStyles count="3">
    <cellStyle name="Hyperlink 2" xfId="2" xr:uid="{B27EC12D-F977-4F06-8E0B-10E23EB427CF}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073673"/>
      <color rgb="FFE6F6E9"/>
      <color rgb="FFFFEFEF"/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7367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73673"/>
                </a:solidFill>
              </a:rPr>
              <a:t>Football Field Valuation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7367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Min.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ChartData!$L$4:$L$8</c:f>
              <c:numCache>
                <c:formatCode>General</c:formatCode>
                <c:ptCount val="5"/>
                <c:pt idx="0">
                  <c:v>151520.45416666663</c:v>
                </c:pt>
                <c:pt idx="1">
                  <c:v>139151.4375</c:v>
                </c:pt>
                <c:pt idx="2">
                  <c:v>142208.48474828256</c:v>
                </c:pt>
                <c:pt idx="3">
                  <c:v>150465.48714322961</c:v>
                </c:pt>
                <c:pt idx="4">
                  <c:v>147346.15760425109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28-42E3-919D-7A57547FF353}"/>
            </c:ext>
          </c:extLst>
        </c:ser>
        <c:ser>
          <c:idx val="1"/>
          <c:order val="1"/>
          <c:tx>
            <c:v>Min. to 25th</c:v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ChartData!$M$4:$M$8</c:f>
              <c:numCache>
                <c:formatCode>General</c:formatCode>
                <c:ptCount val="5"/>
                <c:pt idx="0">
                  <c:v>8269.1740636703908</c:v>
                </c:pt>
                <c:pt idx="1">
                  <c:v>10703.95673076922</c:v>
                </c:pt>
                <c:pt idx="2">
                  <c:v>19171.958939058852</c:v>
                </c:pt>
                <c:pt idx="3">
                  <c:v>10810.682696743374</c:v>
                </c:pt>
                <c:pt idx="4">
                  <c:v>11922.158751741052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28-42E3-919D-7A57547FF353}"/>
            </c:ext>
          </c:extLst>
        </c:ser>
        <c:ser>
          <c:idx val="2"/>
          <c:order val="2"/>
          <c:tx>
            <c:v>25th to Median</c:v>
          </c:tx>
          <c:spPr>
            <a:solidFill>
              <a:srgbClr val="07367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ChartData!$N$4:$N$8</c:f>
              <c:numCache>
                <c:formatCode>General</c:formatCode>
                <c:ptCount val="5"/>
                <c:pt idx="0">
                  <c:v>23510.765349208377</c:v>
                </c:pt>
                <c:pt idx="1">
                  <c:v>7674.5350145137927</c:v>
                </c:pt>
                <c:pt idx="2">
                  <c:v>12445.964097484713</c:v>
                </c:pt>
                <c:pt idx="3">
                  <c:v>6477.339481721021</c:v>
                </c:pt>
                <c:pt idx="4">
                  <c:v>6746.5318709513813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28-42E3-919D-7A57547FF353}"/>
            </c:ext>
          </c:extLst>
        </c:ser>
        <c:ser>
          <c:idx val="3"/>
          <c:order val="3"/>
          <c:tx>
            <c:v>Median to 75th</c:v>
          </c:tx>
          <c:spPr>
            <a:solidFill>
              <a:schemeClr val="bg1">
                <a:lumMod val="8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ChartData!$O$4:$O$8</c:f>
              <c:numCache>
                <c:formatCode>General</c:formatCode>
                <c:ptCount val="5"/>
                <c:pt idx="0">
                  <c:v>18229.27452390283</c:v>
                </c:pt>
                <c:pt idx="1">
                  <c:v>35735.956171383645</c:v>
                </c:pt>
                <c:pt idx="2">
                  <c:v>13244.484466685331</c:v>
                </c:pt>
                <c:pt idx="3">
                  <c:v>6562.410091898113</c:v>
                </c:pt>
                <c:pt idx="4">
                  <c:v>6330.8008411077026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28-42E3-919D-7A57547FF353}"/>
            </c:ext>
          </c:extLst>
        </c:ser>
        <c:ser>
          <c:idx val="4"/>
          <c:order val="4"/>
          <c:tx>
            <c:v>75th to Max.</c:v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ChartData!$P$4:$P$8</c:f>
              <c:numCache>
                <c:formatCode>General</c:formatCode>
                <c:ptCount val="5"/>
                <c:pt idx="0">
                  <c:v>10992.527351097146</c:v>
                </c:pt>
                <c:pt idx="1">
                  <c:v>11947.345643939392</c:v>
                </c:pt>
                <c:pt idx="2">
                  <c:v>22494.182366208144</c:v>
                </c:pt>
                <c:pt idx="3">
                  <c:v>11825.086948334298</c:v>
                </c:pt>
                <c:pt idx="4">
                  <c:v>10770.391936412925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28-42E3-919D-7A57547FF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378704"/>
        <c:axId val="790379184"/>
      </c:barChart>
      <c:catAx>
        <c:axId val="79037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379184"/>
        <c:crosses val="autoZero"/>
        <c:auto val="1"/>
        <c:lblAlgn val="ctr"/>
        <c:lblOffset val="100"/>
        <c:noMultiLvlLbl val="0"/>
      </c:catAx>
      <c:valAx>
        <c:axId val="790379184"/>
        <c:scaling>
          <c:orientation val="minMax"/>
          <c:max val="220000"/>
          <c:min val="1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378704"/>
        <c:crosses val="autoZero"/>
        <c:crossBetween val="between"/>
        <c:majorUnit val="1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rgbClr val="07367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73673"/>
                </a:solidFill>
              </a:rPr>
              <a:t>Football Field Valuation Chart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rgbClr val="07367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Min.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ChartData!$L$4:$L$8</c:f>
              <c:numCache>
                <c:formatCode>General</c:formatCode>
                <c:ptCount val="5"/>
                <c:pt idx="0">
                  <c:v>151520.45416666663</c:v>
                </c:pt>
                <c:pt idx="1">
                  <c:v>139151.4375</c:v>
                </c:pt>
                <c:pt idx="2">
                  <c:v>142208.48474828256</c:v>
                </c:pt>
                <c:pt idx="3">
                  <c:v>150465.48714322961</c:v>
                </c:pt>
                <c:pt idx="4">
                  <c:v>147346.15760425109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21-824D-042D170581C7}"/>
            </c:ext>
          </c:extLst>
        </c:ser>
        <c:ser>
          <c:idx val="1"/>
          <c:order val="1"/>
          <c:tx>
            <c:v>Min. to 25th</c:v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ChartData!$M$4:$M$8</c:f>
              <c:numCache>
                <c:formatCode>General</c:formatCode>
                <c:ptCount val="5"/>
                <c:pt idx="0">
                  <c:v>8269.1740636703908</c:v>
                </c:pt>
                <c:pt idx="1">
                  <c:v>10703.95673076922</c:v>
                </c:pt>
                <c:pt idx="2">
                  <c:v>19171.958939058852</c:v>
                </c:pt>
                <c:pt idx="3">
                  <c:v>10810.682696743374</c:v>
                </c:pt>
                <c:pt idx="4">
                  <c:v>11922.158751741052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21-824D-042D170581C7}"/>
            </c:ext>
          </c:extLst>
        </c:ser>
        <c:ser>
          <c:idx val="2"/>
          <c:order val="2"/>
          <c:tx>
            <c:v>25th to Median</c:v>
          </c:tx>
          <c:spPr>
            <a:solidFill>
              <a:srgbClr val="07367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ChartData!$N$4:$N$8</c:f>
              <c:numCache>
                <c:formatCode>General</c:formatCode>
                <c:ptCount val="5"/>
                <c:pt idx="0">
                  <c:v>23510.765349208377</c:v>
                </c:pt>
                <c:pt idx="1">
                  <c:v>7674.5350145137927</c:v>
                </c:pt>
                <c:pt idx="2">
                  <c:v>12445.964097484713</c:v>
                </c:pt>
                <c:pt idx="3">
                  <c:v>6477.339481721021</c:v>
                </c:pt>
                <c:pt idx="4">
                  <c:v>6746.5318709513813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21-824D-042D170581C7}"/>
            </c:ext>
          </c:extLst>
        </c:ser>
        <c:ser>
          <c:idx val="3"/>
          <c:order val="3"/>
          <c:tx>
            <c:v>Median to 75th</c:v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ChartData!$O$4:$O$8</c:f>
              <c:numCache>
                <c:formatCode>General</c:formatCode>
                <c:ptCount val="5"/>
                <c:pt idx="0">
                  <c:v>18229.27452390283</c:v>
                </c:pt>
                <c:pt idx="1">
                  <c:v>35735.956171383645</c:v>
                </c:pt>
                <c:pt idx="2">
                  <c:v>13244.484466685331</c:v>
                </c:pt>
                <c:pt idx="3">
                  <c:v>6562.410091898113</c:v>
                </c:pt>
                <c:pt idx="4">
                  <c:v>6330.8008411077026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21-824D-042D170581C7}"/>
            </c:ext>
          </c:extLst>
        </c:ser>
        <c:ser>
          <c:idx val="4"/>
          <c:order val="4"/>
          <c:tx>
            <c:v>75th to Max.</c:v>
          </c:tx>
          <c:spPr>
            <a:noFill/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ChartData!$K$4:$K$8</c:f>
              <c:strCache>
                <c:ptCount val="5"/>
                <c:pt idx="0">
                  <c:v>Precedent Transactions: EV / EBITDA</c:v>
                </c:pt>
                <c:pt idx="1">
                  <c:v>Precedent Transactions: EV / Revenue</c:v>
                </c:pt>
                <c:pt idx="2">
                  <c:v>DCF: TGR 2.0% - 3.0%, WACC 10.5% - 12.5%</c:v>
                </c:pt>
                <c:pt idx="3">
                  <c:v>DCF: Terminal EBITDA Multiple 9x - 11x</c:v>
                </c:pt>
                <c:pt idx="4">
                  <c:v>LBO: 3.25x - 4.75x debt, Exit Price 8x EBITDA</c:v>
                </c:pt>
              </c:strCache>
            </c:strRef>
          </c:cat>
          <c:val>
            <c:numRef>
              <c:f>ChartData!$P$4:$P$8</c:f>
              <c:numCache>
                <c:formatCode>General</c:formatCode>
                <c:ptCount val="5"/>
                <c:pt idx="0">
                  <c:v>10992.527351097146</c:v>
                </c:pt>
                <c:pt idx="1">
                  <c:v>11947.345643939392</c:v>
                </c:pt>
                <c:pt idx="2">
                  <c:v>22494.182366208144</c:v>
                </c:pt>
                <c:pt idx="3">
                  <c:v>11825.086948334298</c:v>
                </c:pt>
                <c:pt idx="4">
                  <c:v>10770.391936412925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21-824D-042D17058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0378704"/>
        <c:axId val="790379184"/>
      </c:barChart>
      <c:catAx>
        <c:axId val="790378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379184"/>
        <c:crosses val="autoZero"/>
        <c:auto val="1"/>
        <c:lblAlgn val="ctr"/>
        <c:lblOffset val="100"/>
        <c:noMultiLvlLbl val="0"/>
      </c:catAx>
      <c:valAx>
        <c:axId val="790379184"/>
        <c:scaling>
          <c:orientation val="minMax"/>
          <c:max val="220000"/>
          <c:min val="13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_);_(&quot;$&quot;* \(#,##0.0\);_(&quot;$&quot;* &quot;-&quot;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90378704"/>
        <c:crosses val="autoZero"/>
        <c:crossBetween val="between"/>
        <c:majorUnit val="10000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1703294</xdr:colOff>
      <xdr:row>20</xdr:row>
      <xdr:rowOff>95250</xdr:rowOff>
    </xdr:from>
    <xdr:to>
      <xdr:col>17</xdr:col>
      <xdr:colOff>333375</xdr:colOff>
      <xdr:row>37</xdr:row>
      <xdr:rowOff>66675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43E78DB-545B-45DA-BA10-DD2A02529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12</xdr:row>
      <xdr:rowOff>9525</xdr:rowOff>
    </xdr:from>
    <xdr:to>
      <xdr:col>16</xdr:col>
      <xdr:colOff>619125</xdr:colOff>
      <xdr:row>29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CBB760-8607-5993-0B26-F8A06E9ADD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22DE7-4ACB-4C0D-A95B-7801CAB97865}">
  <sheetPr>
    <tabColor rgb="FFFFFF99"/>
  </sheetPr>
  <dimension ref="A1:V25"/>
  <sheetViews>
    <sheetView showGridLines="0" tabSelected="1" workbookViewId="0">
      <selection activeCell="C33" sqref="C33"/>
    </sheetView>
  </sheetViews>
  <sheetFormatPr defaultColWidth="10.625" defaultRowHeight="12.75" x14ac:dyDescent="0.2"/>
  <cols>
    <col min="1" max="2" width="2.625" style="1" customWidth="1"/>
    <col min="3" max="3" width="30.625" style="1" customWidth="1"/>
    <col min="4" max="16384" width="10.625" style="1"/>
  </cols>
  <sheetData>
    <row r="1" spans="1:22" x14ac:dyDescent="0.2">
      <c r="A1" s="79"/>
    </row>
    <row r="2" spans="1:22" ht="18" x14ac:dyDescent="0.25">
      <c r="A2" s="79"/>
      <c r="B2" s="77" t="s">
        <v>226</v>
      </c>
    </row>
    <row r="3" spans="1:22" s="76" customFormat="1" ht="9.9499999999999993" customHeight="1" x14ac:dyDescent="0.2">
      <c r="A3" s="142"/>
    </row>
    <row r="4" spans="1:22" x14ac:dyDescent="0.2">
      <c r="A4" s="79"/>
      <c r="B4" s="25" t="s">
        <v>180</v>
      </c>
    </row>
    <row r="5" spans="1:22" x14ac:dyDescent="0.2">
      <c r="A5" s="79"/>
    </row>
    <row r="6" spans="1:22" ht="16.5" thickBot="1" x14ac:dyDescent="0.3">
      <c r="A6" s="79" t="s">
        <v>87</v>
      </c>
      <c r="B6" s="241"/>
      <c r="C6" s="241"/>
      <c r="D6" s="241"/>
      <c r="E6" s="267" t="s">
        <v>239</v>
      </c>
      <c r="F6" s="267"/>
      <c r="G6" s="267"/>
      <c r="H6" s="267"/>
      <c r="I6" s="267"/>
      <c r="J6" s="241"/>
      <c r="K6" s="243" t="s">
        <v>240</v>
      </c>
      <c r="L6" s="241"/>
      <c r="M6" s="241"/>
      <c r="N6" s="267" t="s">
        <v>241</v>
      </c>
      <c r="O6" s="267"/>
      <c r="P6" s="267"/>
      <c r="Q6" s="267"/>
      <c r="R6" s="267"/>
      <c r="S6" s="241"/>
      <c r="T6" s="241"/>
      <c r="U6" s="72"/>
      <c r="V6" s="72"/>
    </row>
    <row r="7" spans="1:22" ht="12.75" customHeight="1" x14ac:dyDescent="0.25">
      <c r="B7" s="271"/>
      <c r="C7" s="243" t="s">
        <v>227</v>
      </c>
      <c r="D7" s="241"/>
      <c r="E7" s="246" t="s">
        <v>231</v>
      </c>
      <c r="F7" s="246" t="s">
        <v>236</v>
      </c>
      <c r="G7" s="246" t="s">
        <v>211</v>
      </c>
      <c r="H7" s="246" t="s">
        <v>238</v>
      </c>
      <c r="I7" s="246" t="s">
        <v>235</v>
      </c>
      <c r="J7" s="111"/>
      <c r="K7" s="187" t="s">
        <v>246</v>
      </c>
      <c r="L7" s="242"/>
      <c r="M7" s="242"/>
      <c r="N7" s="246" t="s">
        <v>231</v>
      </c>
      <c r="O7" s="246" t="s">
        <v>236</v>
      </c>
      <c r="P7" s="246" t="s">
        <v>211</v>
      </c>
      <c r="Q7" s="246" t="s">
        <v>238</v>
      </c>
      <c r="R7" s="246" t="s">
        <v>235</v>
      </c>
      <c r="S7" s="242"/>
      <c r="T7" s="242"/>
      <c r="V7" s="188"/>
    </row>
    <row r="8" spans="1:22" ht="12.75" customHeight="1" x14ac:dyDescent="0.25">
      <c r="B8" s="271"/>
      <c r="C8" s="241"/>
      <c r="D8" s="241"/>
      <c r="E8" s="246" t="s">
        <v>232</v>
      </c>
      <c r="F8" s="246" t="s">
        <v>237</v>
      </c>
      <c r="G8" s="246" t="s">
        <v>232</v>
      </c>
      <c r="H8" s="246" t="s">
        <v>237</v>
      </c>
      <c r="I8" s="246" t="s">
        <v>232</v>
      </c>
      <c r="J8" s="111"/>
      <c r="K8" s="268" t="s">
        <v>204</v>
      </c>
      <c r="L8" s="242"/>
      <c r="M8" s="242"/>
      <c r="N8" s="246" t="s">
        <v>232</v>
      </c>
      <c r="O8" s="246" t="s">
        <v>237</v>
      </c>
      <c r="P8" s="246" t="s">
        <v>232</v>
      </c>
      <c r="Q8" s="246" t="s">
        <v>237</v>
      </c>
      <c r="R8" s="246" t="s">
        <v>232</v>
      </c>
      <c r="S8" s="242"/>
      <c r="T8" s="242"/>
      <c r="V8" s="188"/>
    </row>
    <row r="9" spans="1:22" ht="9.9499999999999993" customHeight="1" x14ac:dyDescent="0.2">
      <c r="A9" s="79"/>
      <c r="B9" s="235"/>
      <c r="C9" s="236"/>
      <c r="D9" s="236"/>
      <c r="T9" s="171"/>
    </row>
    <row r="10" spans="1:22" x14ac:dyDescent="0.2">
      <c r="B10" s="237" t="s">
        <v>228</v>
      </c>
      <c r="C10" s="239"/>
      <c r="D10" s="236"/>
      <c r="I10" s="92"/>
      <c r="M10" s="191"/>
      <c r="N10" s="191"/>
      <c r="O10" s="191"/>
      <c r="Q10" s="92"/>
      <c r="S10" s="92"/>
      <c r="T10" s="169"/>
      <c r="V10" s="92"/>
    </row>
    <row r="11" spans="1:22" x14ac:dyDescent="0.2">
      <c r="B11" s="238"/>
      <c r="C11" s="72" t="s">
        <v>207</v>
      </c>
      <c r="D11" s="236"/>
      <c r="E11" s="245">
        <f>CompAcq!O22</f>
        <v>7.7777777777777777</v>
      </c>
      <c r="F11" s="245">
        <f>CompAcq!O21</f>
        <v>8.2022471910112351</v>
      </c>
      <c r="G11" s="245">
        <f>CompAcq!O20</f>
        <v>9.4090909090909083</v>
      </c>
      <c r="H11" s="245">
        <f>CompAcq!O18</f>
        <v>10.344827586206897</v>
      </c>
      <c r="I11" s="245">
        <f>CompAcq!O17</f>
        <v>10.909090909090908</v>
      </c>
      <c r="K11" s="223">
        <f>Financials!F22</f>
        <v>19481.201249999995</v>
      </c>
      <c r="M11" s="191"/>
      <c r="N11" s="92">
        <f>$K$11*E11</f>
        <v>151520.45416666663</v>
      </c>
      <c r="O11" s="92">
        <f t="shared" ref="O11:R11" si="0">$K$11*F11</f>
        <v>159789.62823033702</v>
      </c>
      <c r="P11" s="92">
        <f t="shared" si="0"/>
        <v>183300.3935795454</v>
      </c>
      <c r="Q11" s="92">
        <f t="shared" si="0"/>
        <v>201529.66810344823</v>
      </c>
      <c r="R11" s="92">
        <f t="shared" si="0"/>
        <v>212522.19545454538</v>
      </c>
      <c r="S11" s="92"/>
      <c r="T11" s="169"/>
      <c r="V11" s="92"/>
    </row>
    <row r="12" spans="1:22" x14ac:dyDescent="0.2">
      <c r="B12" s="235"/>
      <c r="C12" s="72" t="s">
        <v>247</v>
      </c>
      <c r="D12" s="236"/>
      <c r="E12" s="245">
        <f>CompAcq!M22</f>
        <v>1</v>
      </c>
      <c r="F12" s="245">
        <f>CompAcq!M21</f>
        <v>1.0769230769230769</v>
      </c>
      <c r="G12" s="245">
        <f>CompAcq!M20</f>
        <v>1.1320754716981132</v>
      </c>
      <c r="H12" s="245">
        <f>CompAcq!M18</f>
        <v>1.3888888888888888</v>
      </c>
      <c r="I12" s="245">
        <f>CompAcq!M17</f>
        <v>1.4747474747474747</v>
      </c>
      <c r="K12" s="223">
        <f>Financials!F8</f>
        <v>139151.4375</v>
      </c>
      <c r="M12" s="191"/>
      <c r="N12" s="92">
        <f>$K$12*E12</f>
        <v>139151.4375</v>
      </c>
      <c r="O12" s="92">
        <f t="shared" ref="O12:R12" si="1">$K$12*F12</f>
        <v>149855.39423076922</v>
      </c>
      <c r="P12" s="92">
        <f t="shared" si="1"/>
        <v>157529.92924528301</v>
      </c>
      <c r="Q12" s="92">
        <f t="shared" si="1"/>
        <v>193265.88541666666</v>
      </c>
      <c r="R12" s="92">
        <f t="shared" si="1"/>
        <v>205213.23106060605</v>
      </c>
      <c r="S12" s="92"/>
      <c r="T12" s="169"/>
      <c r="V12" s="92"/>
    </row>
    <row r="13" spans="1:22" x14ac:dyDescent="0.2">
      <c r="B13" s="240" t="s">
        <v>229</v>
      </c>
      <c r="E13" s="244"/>
      <c r="F13" s="244"/>
      <c r="G13" s="244"/>
      <c r="H13" s="244"/>
      <c r="I13" s="92"/>
      <c r="M13" s="191"/>
      <c r="N13" s="92"/>
      <c r="O13" s="92"/>
      <c r="P13" s="92"/>
      <c r="Q13" s="92"/>
      <c r="R13" s="92"/>
      <c r="S13" s="92"/>
      <c r="T13" s="169"/>
      <c r="V13" s="92"/>
    </row>
    <row r="14" spans="1:22" x14ac:dyDescent="0.2">
      <c r="B14" s="47"/>
      <c r="C14" s="1" t="s">
        <v>248</v>
      </c>
      <c r="E14" s="245">
        <f>DCF!F95</f>
        <v>7.7061001485567724</v>
      </c>
      <c r="F14" s="245">
        <f>DCF!F94</f>
        <v>8.283906193276529</v>
      </c>
      <c r="G14" s="245">
        <f>DCF!F93</f>
        <v>8.9031965302751548</v>
      </c>
      <c r="H14" s="245">
        <f>DCF!F91</f>
        <v>9.6026364006434921</v>
      </c>
      <c r="I14" s="245">
        <f>DCF!F90</f>
        <v>10.573986466290558</v>
      </c>
      <c r="K14" s="92">
        <f>K11</f>
        <v>19481.201249999995</v>
      </c>
      <c r="M14" s="191"/>
      <c r="N14" s="92">
        <f>$K$14*E14</f>
        <v>150124.08784668933</v>
      </c>
      <c r="O14" s="92">
        <f t="shared" ref="O14:R14" si="2">$K$14*F14</f>
        <v>161380.44368734141</v>
      </c>
      <c r="P14" s="92">
        <f t="shared" si="2"/>
        <v>173444.96337459196</v>
      </c>
      <c r="Q14" s="92">
        <f t="shared" si="2"/>
        <v>187070.89225151145</v>
      </c>
      <c r="R14" s="92">
        <f t="shared" si="2"/>
        <v>205993.95836458265</v>
      </c>
      <c r="S14" s="92"/>
      <c r="T14" s="169"/>
      <c r="V14" s="92"/>
    </row>
    <row r="15" spans="1:22" x14ac:dyDescent="0.2">
      <c r="B15" s="47"/>
      <c r="C15" s="1" t="s">
        <v>249</v>
      </c>
      <c r="E15" s="245">
        <f>DCF!F123</f>
        <v>8.4368729665705864</v>
      </c>
      <c r="F15" s="245">
        <f>DCF!F122</f>
        <v>9.121079008244978</v>
      </c>
      <c r="G15" s="245">
        <f>DCF!F121</f>
        <v>9.6228270856276428</v>
      </c>
      <c r="H15" s="245">
        <f>DCF!F119</f>
        <v>10.067618361770586</v>
      </c>
      <c r="I15" s="245">
        <f>DCF!F118</f>
        <v>10.904842960048388</v>
      </c>
      <c r="K15" s="95">
        <f>K11</f>
        <v>19481.201249999995</v>
      </c>
      <c r="M15" s="191"/>
      <c r="N15" s="92">
        <f>$K$15*E15</f>
        <v>164360.42018244608</v>
      </c>
      <c r="O15" s="92">
        <f t="shared" ref="O15:R15" si="3">$K$15*F15</f>
        <v>177689.57577677077</v>
      </c>
      <c r="P15" s="92">
        <f t="shared" si="3"/>
        <v>187464.23104906303</v>
      </c>
      <c r="Q15" s="92">
        <f t="shared" si="3"/>
        <v>196129.29941384806</v>
      </c>
      <c r="R15" s="92">
        <f t="shared" si="3"/>
        <v>212439.4403043483</v>
      </c>
      <c r="S15" s="92"/>
      <c r="T15" s="169"/>
      <c r="V15" s="92"/>
    </row>
    <row r="16" spans="1:22" x14ac:dyDescent="0.2">
      <c r="B16" s="240" t="s">
        <v>230</v>
      </c>
      <c r="E16" s="244"/>
      <c r="F16" s="244"/>
      <c r="G16" s="244"/>
      <c r="H16" s="244"/>
      <c r="I16" s="92"/>
      <c r="M16" s="191"/>
      <c r="N16" s="92"/>
      <c r="O16" s="92"/>
      <c r="P16" s="92"/>
      <c r="Q16" s="92"/>
      <c r="R16" s="92"/>
      <c r="S16" s="92"/>
      <c r="T16" s="169"/>
      <c r="V16" s="92"/>
    </row>
    <row r="17" spans="1:22" x14ac:dyDescent="0.2">
      <c r="B17" s="47"/>
      <c r="C17" s="1" t="s">
        <v>260</v>
      </c>
      <c r="E17" s="245">
        <f>LBO!F165</f>
        <v>7.5635047199284555</v>
      </c>
      <c r="F17" s="245">
        <f>LBO!F164</f>
        <v>8.1754874513188547</v>
      </c>
      <c r="G17" s="245">
        <f>LBO!F163</f>
        <v>8.521797300715404</v>
      </c>
      <c r="H17" s="245">
        <f>LBO!F161</f>
        <v>8.8467670374305722</v>
      </c>
      <c r="I17" s="245">
        <f>LBO!F160</f>
        <v>9.3996278080882814</v>
      </c>
      <c r="K17" s="92">
        <f>K11</f>
        <v>19481.201249999995</v>
      </c>
      <c r="M17" s="191"/>
      <c r="N17" s="92">
        <f>$K$17*E17</f>
        <v>147346.15760425109</v>
      </c>
      <c r="O17" s="92">
        <f t="shared" ref="O17:R17" si="4">$K$17*F17</f>
        <v>159268.31635599214</v>
      </c>
      <c r="P17" s="92">
        <f t="shared" si="4"/>
        <v>166014.84822694352</v>
      </c>
      <c r="Q17" s="92">
        <f t="shared" si="4"/>
        <v>172345.64906805122</v>
      </c>
      <c r="R17" s="92">
        <f t="shared" si="4"/>
        <v>183116.04100446415</v>
      </c>
      <c r="S17" s="92"/>
      <c r="T17" s="169"/>
      <c r="V17" s="92"/>
    </row>
    <row r="18" spans="1:22" x14ac:dyDescent="0.2">
      <c r="B18" s="49"/>
      <c r="C18" s="37"/>
      <c r="D18" s="37"/>
      <c r="E18" s="37"/>
      <c r="F18" s="37"/>
      <c r="G18" s="37"/>
      <c r="H18" s="37"/>
      <c r="I18" s="37"/>
      <c r="J18" s="37"/>
      <c r="K18" s="166"/>
      <c r="L18" s="37"/>
      <c r="M18" s="180"/>
      <c r="N18" s="180"/>
      <c r="O18" s="180"/>
      <c r="P18" s="37"/>
      <c r="Q18" s="166"/>
      <c r="R18" s="37"/>
      <c r="S18" s="166"/>
      <c r="T18" s="270"/>
      <c r="V18" s="92"/>
    </row>
    <row r="19" spans="1:22" ht="9.9499999999999993" customHeight="1" x14ac:dyDescent="0.2">
      <c r="A19" s="79"/>
    </row>
    <row r="20" spans="1:22" x14ac:dyDescent="0.2">
      <c r="B20" s="103"/>
      <c r="L20" s="208"/>
      <c r="M20" s="191"/>
      <c r="O20" s="191"/>
    </row>
    <row r="21" spans="1:22" x14ac:dyDescent="0.2">
      <c r="B21" s="103"/>
      <c r="L21" s="208"/>
      <c r="M21" s="191"/>
      <c r="O21" s="191"/>
    </row>
    <row r="22" spans="1:22" x14ac:dyDescent="0.2">
      <c r="B22" s="116"/>
      <c r="C22" s="6"/>
      <c r="D22" s="6"/>
      <c r="E22" s="6"/>
      <c r="F22" s="6"/>
      <c r="G22" s="6"/>
      <c r="H22" s="6"/>
      <c r="I22" s="6"/>
      <c r="J22" s="6"/>
      <c r="K22" s="6"/>
      <c r="L22" s="209"/>
      <c r="M22" s="207"/>
      <c r="N22" s="6"/>
      <c r="O22" s="207"/>
      <c r="P22" s="6"/>
      <c r="Q22" s="6"/>
      <c r="R22" s="6"/>
      <c r="S22" s="6"/>
      <c r="T22" s="6"/>
    </row>
    <row r="23" spans="1:22" x14ac:dyDescent="0.2">
      <c r="B23" s="116"/>
      <c r="C23" s="6"/>
      <c r="D23" s="6"/>
      <c r="E23" s="6"/>
      <c r="F23" s="6"/>
      <c r="G23" s="6"/>
      <c r="H23" s="6"/>
      <c r="I23" s="6"/>
      <c r="J23" s="6"/>
      <c r="K23" s="6"/>
      <c r="L23" s="209"/>
      <c r="M23" s="207"/>
      <c r="N23" s="6"/>
      <c r="O23" s="207"/>
      <c r="P23" s="6"/>
      <c r="Q23" s="6"/>
      <c r="R23" s="6"/>
      <c r="S23" s="6"/>
      <c r="T23" s="6"/>
    </row>
    <row r="24" spans="1:22" x14ac:dyDescent="0.2">
      <c r="B24" s="103"/>
      <c r="L24" s="208"/>
      <c r="M24" s="191"/>
      <c r="O24" s="191"/>
    </row>
    <row r="25" spans="1:22" x14ac:dyDescent="0.2">
      <c r="B25" s="103"/>
      <c r="L25" s="208"/>
      <c r="M25" s="191"/>
      <c r="O25" s="19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64EC6-1FEE-4840-A8BF-53455F8C88F4}">
  <sheetPr>
    <tabColor rgb="FF00B0F0"/>
  </sheetPr>
  <dimension ref="A2:T123"/>
  <sheetViews>
    <sheetView showGridLines="0" workbookViewId="0">
      <selection activeCell="M86" sqref="M86"/>
    </sheetView>
  </sheetViews>
  <sheetFormatPr defaultRowHeight="12.75" x14ac:dyDescent="0.2"/>
  <cols>
    <col min="1" max="1" width="2.625" style="1" customWidth="1"/>
    <col min="2" max="4" width="9" style="1"/>
    <col min="5" max="10" width="9.125" style="1" bestFit="1" customWidth="1"/>
    <col min="11" max="11" width="9.75" style="1" bestFit="1" customWidth="1"/>
    <col min="12" max="15" width="9.125" style="1" bestFit="1" customWidth="1"/>
    <col min="16" max="16" width="9.125" style="1" customWidth="1"/>
    <col min="17" max="18" width="9.125" style="1" bestFit="1" customWidth="1"/>
    <col min="19" max="19" width="9.125" style="1" customWidth="1"/>
    <col min="20" max="20" width="9.125" style="1" bestFit="1" customWidth="1"/>
    <col min="21" max="16384" width="9" style="1"/>
  </cols>
  <sheetData>
    <row r="2" spans="1:20" ht="20.25" customHeight="1" x14ac:dyDescent="0.25">
      <c r="B2" s="77" t="s">
        <v>111</v>
      </c>
    </row>
    <row r="3" spans="1:20" s="76" customFormat="1" x14ac:dyDescent="0.2"/>
    <row r="4" spans="1:20" x14ac:dyDescent="0.2">
      <c r="B4" s="25" t="s">
        <v>182</v>
      </c>
    </row>
    <row r="6" spans="1:20" x14ac:dyDescent="0.2">
      <c r="A6" s="79" t="s">
        <v>87</v>
      </c>
      <c r="B6" s="96" t="s">
        <v>35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</row>
    <row r="7" spans="1:20" ht="6" customHeight="1" x14ac:dyDescent="0.2"/>
    <row r="8" spans="1:20" x14ac:dyDescent="0.2">
      <c r="B8" s="17" t="s">
        <v>88</v>
      </c>
      <c r="C8" s="97"/>
      <c r="D8" s="97"/>
      <c r="E8" s="97"/>
      <c r="G8" s="17" t="s">
        <v>220</v>
      </c>
      <c r="H8" s="97"/>
      <c r="I8" s="97"/>
      <c r="J8" s="97"/>
      <c r="L8" s="17" t="s">
        <v>115</v>
      </c>
      <c r="M8" s="97"/>
      <c r="N8" s="97"/>
      <c r="O8" s="97"/>
      <c r="Q8" s="17" t="s">
        <v>221</v>
      </c>
      <c r="R8" s="97"/>
      <c r="S8" s="97"/>
      <c r="T8" s="97"/>
    </row>
    <row r="9" spans="1:20" x14ac:dyDescent="0.2">
      <c r="B9" s="45" t="s">
        <v>35</v>
      </c>
      <c r="G9" s="45" t="s">
        <v>35</v>
      </c>
      <c r="H9" s="80"/>
      <c r="I9" s="81" t="s">
        <v>76</v>
      </c>
      <c r="J9" s="81" t="s">
        <v>89</v>
      </c>
      <c r="L9" s="45" t="s">
        <v>35</v>
      </c>
      <c r="M9" s="80"/>
      <c r="N9" s="81" t="s">
        <v>76</v>
      </c>
      <c r="O9" s="81" t="s">
        <v>89</v>
      </c>
      <c r="Q9" s="45" t="s">
        <v>35</v>
      </c>
      <c r="R9" s="80"/>
      <c r="S9" s="81" t="s">
        <v>76</v>
      </c>
      <c r="T9" s="81" t="s">
        <v>89</v>
      </c>
    </row>
    <row r="10" spans="1:20" x14ac:dyDescent="0.2">
      <c r="B10" s="1" t="s">
        <v>3</v>
      </c>
      <c r="E10" s="82">
        <v>2</v>
      </c>
      <c r="F10" s="79"/>
      <c r="G10" s="1" t="s">
        <v>3</v>
      </c>
      <c r="I10" s="83" t="s">
        <v>114</v>
      </c>
      <c r="J10" s="128">
        <v>-0.2</v>
      </c>
      <c r="L10" s="1" t="s">
        <v>3</v>
      </c>
      <c r="N10" s="83" t="s">
        <v>114</v>
      </c>
      <c r="O10" s="128">
        <v>0.08</v>
      </c>
      <c r="Q10" s="1" t="s">
        <v>3</v>
      </c>
      <c r="S10" s="83" t="s">
        <v>114</v>
      </c>
      <c r="T10" s="128">
        <v>0.2</v>
      </c>
    </row>
    <row r="11" spans="1:20" x14ac:dyDescent="0.2">
      <c r="B11" s="1" t="s">
        <v>90</v>
      </c>
      <c r="E11" s="82">
        <v>2</v>
      </c>
      <c r="F11" s="79"/>
      <c r="G11" s="1" t="s">
        <v>90</v>
      </c>
      <c r="I11" s="83" t="s">
        <v>114</v>
      </c>
      <c r="J11" s="128">
        <v>-0.1</v>
      </c>
      <c r="L11" s="1" t="s">
        <v>90</v>
      </c>
      <c r="N11" s="83" t="s">
        <v>114</v>
      </c>
      <c r="O11" s="128">
        <v>0.13</v>
      </c>
      <c r="Q11" s="1" t="s">
        <v>90</v>
      </c>
      <c r="S11" s="83" t="s">
        <v>114</v>
      </c>
      <c r="T11" s="128">
        <v>0.1</v>
      </c>
    </row>
    <row r="12" spans="1:20" x14ac:dyDescent="0.2">
      <c r="B12" s="1" t="s">
        <v>91</v>
      </c>
      <c r="E12" s="82">
        <v>2</v>
      </c>
      <c r="F12" s="79"/>
      <c r="S12" s="83"/>
      <c r="T12" s="110"/>
    </row>
    <row r="13" spans="1:20" x14ac:dyDescent="0.2">
      <c r="B13" s="1" t="s">
        <v>92</v>
      </c>
      <c r="E13" s="82">
        <v>2</v>
      </c>
      <c r="F13" s="79"/>
      <c r="I13" s="83"/>
      <c r="J13" s="110"/>
      <c r="S13" s="83"/>
      <c r="T13" s="110"/>
    </row>
    <row r="14" spans="1:20" x14ac:dyDescent="0.2">
      <c r="F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  <row r="15" spans="1:20" x14ac:dyDescent="0.2">
      <c r="B15" s="45" t="s">
        <v>93</v>
      </c>
      <c r="F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</row>
    <row r="16" spans="1:20" x14ac:dyDescent="0.2">
      <c r="B16" s="1" t="s">
        <v>91</v>
      </c>
      <c r="E16" s="84">
        <f>CHOOSE(E12,J16,O16,T16)</f>
        <v>0.11461986586982624</v>
      </c>
      <c r="F16" s="79"/>
      <c r="G16" s="1" t="s">
        <v>91</v>
      </c>
      <c r="J16" s="84">
        <f>O16+0.01</f>
        <v>0.12461986586982624</v>
      </c>
      <c r="K16" s="79"/>
      <c r="L16" s="1" t="s">
        <v>91</v>
      </c>
      <c r="O16" s="133">
        <f>WACC!C36</f>
        <v>0.11461986586982624</v>
      </c>
      <c r="P16" s="79"/>
      <c r="Q16" s="1" t="s">
        <v>91</v>
      </c>
      <c r="T16" s="84">
        <f>O16-0.01</f>
        <v>0.10461986586982625</v>
      </c>
    </row>
    <row r="17" spans="1:20" x14ac:dyDescent="0.2">
      <c r="B17" s="1" t="s">
        <v>92</v>
      </c>
      <c r="E17" s="84">
        <f>CHOOSE(E13,J17,O17,T17)</f>
        <v>2.5000000000000001E-2</v>
      </c>
      <c r="G17" s="1" t="s">
        <v>92</v>
      </c>
      <c r="J17" s="84">
        <f>O17-0.005</f>
        <v>0.02</v>
      </c>
      <c r="K17" s="79"/>
      <c r="L17" s="1" t="s">
        <v>92</v>
      </c>
      <c r="O17" s="127">
        <v>2.5000000000000001E-2</v>
      </c>
      <c r="P17" s="79"/>
      <c r="Q17" s="1" t="s">
        <v>92</v>
      </c>
      <c r="T17" s="84">
        <f>O17+0.005</f>
        <v>3.0000000000000002E-2</v>
      </c>
    </row>
    <row r="18" spans="1:20" x14ac:dyDescent="0.2">
      <c r="E18" s="85"/>
      <c r="J18" s="85"/>
      <c r="K18" s="79"/>
      <c r="O18" s="85"/>
      <c r="P18" s="79"/>
      <c r="T18" s="85"/>
    </row>
    <row r="19" spans="1:20" x14ac:dyDescent="0.2">
      <c r="A19" s="79" t="s">
        <v>87</v>
      </c>
      <c r="B19" s="96" t="s">
        <v>0</v>
      </c>
      <c r="C19" s="96"/>
      <c r="D19" s="96"/>
      <c r="E19" s="98">
        <f>Financials!D7</f>
        <v>2021</v>
      </c>
      <c r="F19" s="98">
        <f>E19+1</f>
        <v>2022</v>
      </c>
      <c r="G19" s="333">
        <f t="shared" ref="G19:H19" si="0">F19+1</f>
        <v>2023</v>
      </c>
      <c r="H19" s="100">
        <f t="shared" si="0"/>
        <v>2024</v>
      </c>
      <c r="I19" s="100">
        <f t="shared" ref="I19" si="1">H19+1</f>
        <v>2025</v>
      </c>
      <c r="J19" s="100">
        <f t="shared" ref="J19" si="2">I19+1</f>
        <v>2026</v>
      </c>
      <c r="K19" s="100">
        <f t="shared" ref="K19" si="3">J19+1</f>
        <v>2027</v>
      </c>
      <c r="L19" s="100">
        <f t="shared" ref="L19" si="4">K19+1</f>
        <v>2028</v>
      </c>
      <c r="M19" s="100"/>
      <c r="N19" s="98"/>
      <c r="O19" s="99"/>
      <c r="P19" s="99"/>
      <c r="Q19" s="99"/>
      <c r="R19" s="99"/>
      <c r="S19" s="99"/>
      <c r="T19" s="107"/>
    </row>
    <row r="20" spans="1:20" x14ac:dyDescent="0.2">
      <c r="A20" s="79"/>
      <c r="B20" s="1" t="s">
        <v>3</v>
      </c>
      <c r="E20" s="86">
        <f>Financials!D8</f>
        <v>80667.5</v>
      </c>
      <c r="F20" s="86">
        <f>Financials!E8</f>
        <v>121001.25</v>
      </c>
      <c r="G20" s="86">
        <f>Financials!F8</f>
        <v>139151.4375</v>
      </c>
      <c r="H20" s="86">
        <f>Financials!G8</f>
        <v>150283.55249999999</v>
      </c>
      <c r="I20" s="86">
        <f>Financials!H8</f>
        <v>162306.23669999998</v>
      </c>
      <c r="J20" s="86">
        <f>Financials!I8</f>
        <v>175290.73563599997</v>
      </c>
      <c r="K20" s="86">
        <f>Financials!J8</f>
        <v>189313.99448687996</v>
      </c>
      <c r="L20" s="86">
        <f>Financials!K8</f>
        <v>204459.11404583036</v>
      </c>
      <c r="M20" s="87"/>
      <c r="N20" s="87"/>
      <c r="O20" s="87"/>
      <c r="P20" s="87"/>
      <c r="Q20" s="87"/>
      <c r="R20" s="87"/>
      <c r="S20" s="87"/>
      <c r="T20" s="68"/>
    </row>
    <row r="21" spans="1:20" x14ac:dyDescent="0.2">
      <c r="A21" s="79"/>
      <c r="B21" s="103" t="s">
        <v>94</v>
      </c>
      <c r="C21" s="25"/>
      <c r="D21" s="25"/>
      <c r="E21" s="90" t="s">
        <v>95</v>
      </c>
      <c r="F21" s="88">
        <f>F20/E20-1</f>
        <v>0.5</v>
      </c>
      <c r="G21" s="88">
        <f t="shared" ref="G21:L21" si="5">G20/F20-1</f>
        <v>0.14999999999999991</v>
      </c>
      <c r="H21" s="88">
        <f t="shared" si="5"/>
        <v>7.9999999999999849E-2</v>
      </c>
      <c r="I21" s="88">
        <f t="shared" si="5"/>
        <v>7.9999999999999849E-2</v>
      </c>
      <c r="J21" s="88">
        <f t="shared" si="5"/>
        <v>7.9999999999999849E-2</v>
      </c>
      <c r="K21" s="88">
        <f t="shared" si="5"/>
        <v>8.0000000000000071E-2</v>
      </c>
      <c r="L21" s="88">
        <f t="shared" si="5"/>
        <v>8.0000000000000071E-2</v>
      </c>
      <c r="M21" s="88"/>
      <c r="N21" s="88"/>
      <c r="O21" s="88"/>
      <c r="P21" s="88"/>
      <c r="Q21" s="88"/>
      <c r="R21" s="88"/>
      <c r="S21" s="88"/>
      <c r="T21" s="68"/>
    </row>
    <row r="22" spans="1:20" x14ac:dyDescent="0.2">
      <c r="A22" s="79"/>
      <c r="T22" s="68"/>
    </row>
    <row r="23" spans="1:20" x14ac:dyDescent="0.2">
      <c r="A23" s="79"/>
      <c r="B23" s="1" t="s">
        <v>90</v>
      </c>
      <c r="E23" s="87">
        <f>Financials!D14</f>
        <v>10828.44875</v>
      </c>
      <c r="F23" s="87">
        <f>Financials!E14</f>
        <v>16293.671874999996</v>
      </c>
      <c r="G23" s="87">
        <f>Financials!F14</f>
        <v>18625.970968749993</v>
      </c>
      <c r="H23" s="87">
        <f>Financials!G14</f>
        <v>19959.041739999986</v>
      </c>
      <c r="I23" s="87">
        <f>Financials!H14</f>
        <v>21398.758172949991</v>
      </c>
      <c r="J23" s="87">
        <f>Financials!I14</f>
        <v>22953.651920535995</v>
      </c>
      <c r="K23" s="87">
        <f>Financials!J14</f>
        <v>24632.937167928867</v>
      </c>
      <c r="L23" s="87">
        <f>Financials!K14</f>
        <v>26446.565235113172</v>
      </c>
      <c r="M23" s="87"/>
      <c r="N23" s="87"/>
      <c r="O23" s="87"/>
      <c r="P23" s="87"/>
      <c r="Q23" s="87"/>
      <c r="R23" s="87"/>
      <c r="S23" s="87"/>
      <c r="T23" s="68"/>
    </row>
    <row r="24" spans="1:20" x14ac:dyDescent="0.2">
      <c r="A24" s="79"/>
      <c r="B24" s="103" t="s">
        <v>96</v>
      </c>
      <c r="C24" s="25"/>
      <c r="D24" s="25"/>
      <c r="E24" s="88">
        <f>E23/E20</f>
        <v>0.1342355812439954</v>
      </c>
      <c r="F24" s="88">
        <f t="shared" ref="F24:L24" si="6">F23/F20</f>
        <v>0.13465705416266358</v>
      </c>
      <c r="G24" s="88">
        <f t="shared" si="6"/>
        <v>0.13385396014144657</v>
      </c>
      <c r="H24" s="88">
        <f t="shared" si="6"/>
        <v>0.13280922235319123</v>
      </c>
      <c r="I24" s="88">
        <f t="shared" si="6"/>
        <v>0.13184187254925117</v>
      </c>
      <c r="J24" s="88">
        <f t="shared" si="6"/>
        <v>0.13094617828634372</v>
      </c>
      <c r="K24" s="88">
        <f t="shared" si="6"/>
        <v>0.13011683174661451</v>
      </c>
      <c r="L24" s="88">
        <f t="shared" si="6"/>
        <v>0.1293489182839023</v>
      </c>
      <c r="M24" s="88"/>
      <c r="N24" s="88"/>
      <c r="O24" s="88"/>
      <c r="P24" s="88"/>
      <c r="Q24" s="88"/>
      <c r="R24" s="88"/>
      <c r="S24" s="88"/>
      <c r="T24" s="68"/>
    </row>
    <row r="25" spans="1:20" x14ac:dyDescent="0.2">
      <c r="A25" s="79"/>
      <c r="T25" s="68"/>
    </row>
    <row r="26" spans="1:20" x14ac:dyDescent="0.2">
      <c r="A26" s="79"/>
      <c r="B26" s="1" t="s">
        <v>17</v>
      </c>
      <c r="E26" s="87">
        <f>-Financials!D18</f>
        <v>1857.6284607136106</v>
      </c>
      <c r="F26" s="87">
        <f>-Financials!E18</f>
        <v>3099.795314686105</v>
      </c>
      <c r="G26" s="87">
        <f>-Financials!F18</f>
        <v>3112.6886719480622</v>
      </c>
      <c r="H26" s="87">
        <f>-Financials!G18</f>
        <v>3570.053840639262</v>
      </c>
      <c r="I26" s="87">
        <f>-Financials!H18</f>
        <v>4065.563122638544</v>
      </c>
      <c r="J26" s="87">
        <f>-Financials!I18</f>
        <v>4481.0263714833891</v>
      </c>
      <c r="K26" s="87">
        <f>-Financials!J18</f>
        <v>4933.72878051915</v>
      </c>
      <c r="L26" s="87">
        <f>-Financials!K18</f>
        <v>5427.149745096518</v>
      </c>
      <c r="M26" s="87"/>
      <c r="N26" s="87"/>
      <c r="O26" s="87"/>
      <c r="P26" s="87"/>
      <c r="Q26" s="87"/>
      <c r="R26" s="87"/>
      <c r="S26" s="87"/>
      <c r="T26" s="68"/>
    </row>
    <row r="27" spans="1:20" x14ac:dyDescent="0.2">
      <c r="A27" s="79"/>
      <c r="B27" s="103" t="s">
        <v>97</v>
      </c>
      <c r="C27" s="25"/>
      <c r="D27" s="25"/>
      <c r="E27" s="88">
        <f>-Financials!D18/Financials!D17</f>
        <v>0.21</v>
      </c>
      <c r="F27" s="88">
        <f>-Financials!E18/Financials!E17</f>
        <v>0.21</v>
      </c>
      <c r="G27" s="88">
        <f>-Financials!F18/Financials!F17</f>
        <v>0.21</v>
      </c>
      <c r="H27" s="88">
        <f>-Financials!G18/Financials!G17</f>
        <v>0.21</v>
      </c>
      <c r="I27" s="88">
        <f>-Financials!H18/Financials!H17</f>
        <v>0.21</v>
      </c>
      <c r="J27" s="88">
        <f>-Financials!I18/Financials!I17</f>
        <v>0.21</v>
      </c>
      <c r="K27" s="88">
        <f>-Financials!J18/Financials!J17</f>
        <v>0.21</v>
      </c>
      <c r="L27" s="88">
        <f>-Financials!K18/Financials!K17</f>
        <v>0.20999999999999996</v>
      </c>
      <c r="M27" s="88"/>
      <c r="N27" s="88"/>
      <c r="O27" s="88"/>
      <c r="P27" s="88"/>
      <c r="Q27" s="88"/>
      <c r="R27" s="88"/>
      <c r="S27" s="88"/>
      <c r="T27" s="68"/>
    </row>
    <row r="28" spans="1:20" x14ac:dyDescent="0.2">
      <c r="A28" s="79"/>
      <c r="T28" s="68"/>
    </row>
    <row r="29" spans="1:20" x14ac:dyDescent="0.2">
      <c r="A29" s="79" t="s">
        <v>87</v>
      </c>
      <c r="B29" s="96" t="s">
        <v>112</v>
      </c>
      <c r="C29" s="96"/>
      <c r="D29" s="96"/>
      <c r="E29" s="98">
        <f>E19</f>
        <v>2021</v>
      </c>
      <c r="F29" s="98">
        <f>E29+1</f>
        <v>2022</v>
      </c>
      <c r="G29" s="333">
        <f t="shared" ref="G29" si="7">F29+1</f>
        <v>2023</v>
      </c>
      <c r="H29" s="100">
        <f t="shared" ref="H29" si="8">G29+1</f>
        <v>2024</v>
      </c>
      <c r="I29" s="100">
        <f t="shared" ref="I29" si="9">H29+1</f>
        <v>2025</v>
      </c>
      <c r="J29" s="100">
        <f t="shared" ref="J29" si="10">I29+1</f>
        <v>2026</v>
      </c>
      <c r="K29" s="100">
        <f t="shared" ref="K29" si="11">J29+1</f>
        <v>2027</v>
      </c>
      <c r="L29" s="100">
        <f t="shared" ref="L29" si="12">K29+1</f>
        <v>2028</v>
      </c>
      <c r="M29" s="98"/>
      <c r="N29" s="98"/>
      <c r="O29" s="99"/>
      <c r="P29" s="99"/>
      <c r="Q29" s="99"/>
      <c r="R29" s="99"/>
      <c r="S29" s="99"/>
      <c r="T29" s="107"/>
    </row>
    <row r="30" spans="1:20" x14ac:dyDescent="0.2">
      <c r="A30" s="89"/>
      <c r="B30" s="1" t="s">
        <v>66</v>
      </c>
      <c r="D30" s="71"/>
      <c r="E30" s="87">
        <f>-Financials!D13</f>
        <v>465.00125000000003</v>
      </c>
      <c r="F30" s="87">
        <f>-Financials!E13</f>
        <v>646.50312499999995</v>
      </c>
      <c r="G30" s="87">
        <f>-Financials!F13</f>
        <v>855.23028124999996</v>
      </c>
      <c r="H30" s="87">
        <f>-Financials!G13</f>
        <v>1080.6556099999998</v>
      </c>
      <c r="I30" s="87">
        <f>-Financials!H13</f>
        <v>1324.1149650499999</v>
      </c>
      <c r="J30" s="87">
        <f>-Financials!I13</f>
        <v>1587.0510685039999</v>
      </c>
      <c r="K30" s="87">
        <f>-Financials!J13</f>
        <v>1871.0220602343197</v>
      </c>
      <c r="L30" s="87">
        <f>-Financials!K13</f>
        <v>2177.7107313030651</v>
      </c>
      <c r="M30" s="87"/>
      <c r="N30" s="87"/>
      <c r="O30" s="104"/>
      <c r="P30" s="104"/>
      <c r="Q30" s="104"/>
      <c r="R30" s="104"/>
      <c r="S30" s="104"/>
      <c r="T30" s="68"/>
    </row>
    <row r="31" spans="1:20" x14ac:dyDescent="0.2">
      <c r="A31" s="89"/>
      <c r="B31" s="51" t="s">
        <v>96</v>
      </c>
      <c r="D31" s="71"/>
      <c r="E31" s="106">
        <f>E30/E20</f>
        <v>5.7644187560045874E-3</v>
      </c>
      <c r="F31" s="106">
        <f t="shared" ref="F31:L31" si="13">F30/F20</f>
        <v>5.3429458373363912E-3</v>
      </c>
      <c r="G31" s="106">
        <f t="shared" si="13"/>
        <v>6.1460398585533836E-3</v>
      </c>
      <c r="H31" s="106">
        <f t="shared" si="13"/>
        <v>7.190777646808688E-3</v>
      </c>
      <c r="I31" s="106">
        <f t="shared" si="13"/>
        <v>8.1581274507487866E-3</v>
      </c>
      <c r="J31" s="106">
        <f t="shared" si="13"/>
        <v>9.0538217136562835E-3</v>
      </c>
      <c r="K31" s="106">
        <f t="shared" si="13"/>
        <v>9.8831682533854475E-3</v>
      </c>
      <c r="L31" s="106">
        <f t="shared" si="13"/>
        <v>1.0651081716097636E-2</v>
      </c>
      <c r="M31" s="105"/>
      <c r="N31" s="105"/>
      <c r="O31" s="71"/>
      <c r="P31" s="71"/>
      <c r="Q31" s="71"/>
      <c r="R31" s="71"/>
      <c r="S31" s="71"/>
      <c r="T31" s="68"/>
    </row>
    <row r="32" spans="1:20" x14ac:dyDescent="0.2">
      <c r="A32" s="89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68"/>
    </row>
    <row r="33" spans="1:20" x14ac:dyDescent="0.2">
      <c r="A33" s="89"/>
      <c r="B33" s="1" t="s">
        <v>98</v>
      </c>
      <c r="D33" s="71"/>
      <c r="E33" s="87">
        <f>-Financials!D64</f>
        <v>1210.0125</v>
      </c>
      <c r="F33" s="87">
        <f>-Financials!E64</f>
        <v>1815.01875</v>
      </c>
      <c r="G33" s="87">
        <f>-Financials!F64</f>
        <v>2087.2715625000001</v>
      </c>
      <c r="H33" s="87">
        <f>-Financials!G64</f>
        <v>2254.2532874999997</v>
      </c>
      <c r="I33" s="87">
        <f>-Financials!H64</f>
        <v>2434.5935504999998</v>
      </c>
      <c r="J33" s="87">
        <f>-Financials!I64</f>
        <v>2629.3610345399993</v>
      </c>
      <c r="K33" s="87">
        <f>-Financials!J64</f>
        <v>2839.7099173031993</v>
      </c>
      <c r="L33" s="87">
        <f>-Financials!K64</f>
        <v>3066.8867106874554</v>
      </c>
      <c r="M33" s="87"/>
      <c r="N33" s="87"/>
      <c r="O33" s="71"/>
      <c r="P33" s="71"/>
      <c r="Q33" s="71"/>
      <c r="R33" s="71"/>
      <c r="S33" s="71"/>
      <c r="T33" s="68"/>
    </row>
    <row r="34" spans="1:20" x14ac:dyDescent="0.2">
      <c r="A34" s="89"/>
      <c r="B34" s="103" t="s">
        <v>96</v>
      </c>
      <c r="C34" s="25"/>
      <c r="D34" s="71"/>
      <c r="E34" s="88">
        <f>E33/E20</f>
        <v>1.5000000000000001E-2</v>
      </c>
      <c r="F34" s="88">
        <f t="shared" ref="F34:L34" si="14">F33/F20</f>
        <v>1.4999999999999999E-2</v>
      </c>
      <c r="G34" s="88">
        <f t="shared" si="14"/>
        <v>1.5000000000000001E-2</v>
      </c>
      <c r="H34" s="88">
        <f t="shared" si="14"/>
        <v>1.4999999999999999E-2</v>
      </c>
      <c r="I34" s="88">
        <f t="shared" si="14"/>
        <v>1.5000000000000001E-2</v>
      </c>
      <c r="J34" s="88">
        <f t="shared" si="14"/>
        <v>1.4999999999999999E-2</v>
      </c>
      <c r="K34" s="88">
        <f t="shared" si="14"/>
        <v>1.4999999999999999E-2</v>
      </c>
      <c r="L34" s="88">
        <f t="shared" si="14"/>
        <v>1.5000000000000001E-2</v>
      </c>
      <c r="M34" s="105"/>
      <c r="N34" s="105"/>
      <c r="O34" s="71"/>
      <c r="P34" s="71"/>
      <c r="Q34" s="71"/>
      <c r="R34" s="71"/>
      <c r="S34" s="71"/>
      <c r="T34" s="68"/>
    </row>
    <row r="35" spans="1:20" x14ac:dyDescent="0.2">
      <c r="A35" s="89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68"/>
    </row>
    <row r="36" spans="1:20" x14ac:dyDescent="0.2">
      <c r="A36" s="89"/>
      <c r="B36" s="1" t="s">
        <v>99</v>
      </c>
      <c r="D36" s="71"/>
      <c r="E36" s="87">
        <f>-SUM(Financials!D56:D61)</f>
        <v>12749.583500000001</v>
      </c>
      <c r="F36" s="87">
        <f>-SUM(Financials!E56:E61)</f>
        <v>5654.7917499999985</v>
      </c>
      <c r="G36" s="87">
        <f>-SUM(Financials!F56:F61)</f>
        <v>2544.6562875</v>
      </c>
      <c r="H36" s="87">
        <f>-SUM(Financials!G56:G61)</f>
        <v>1560.7225229999958</v>
      </c>
      <c r="I36" s="87">
        <f>-SUM(Financials!H56:H61)</f>
        <v>1685.580324840003</v>
      </c>
      <c r="J36" s="87">
        <f>-SUM(Financials!I56:I61)</f>
        <v>1820.4267508271928</v>
      </c>
      <c r="K36" s="87">
        <f>-SUM(Financials!J56:J61)</f>
        <v>1966.0608908933791</v>
      </c>
      <c r="L36" s="87">
        <f>-SUM(Financials!K56:K61)</f>
        <v>2123.3457621648458</v>
      </c>
      <c r="M36" s="87"/>
      <c r="N36" s="87"/>
      <c r="O36" s="71"/>
      <c r="P36" s="71"/>
      <c r="Q36" s="71"/>
      <c r="R36" s="71"/>
      <c r="S36" s="71"/>
      <c r="T36" s="68"/>
    </row>
    <row r="37" spans="1:20" x14ac:dyDescent="0.2">
      <c r="A37" s="89"/>
      <c r="B37" s="103" t="s">
        <v>96</v>
      </c>
      <c r="C37" s="25"/>
      <c r="D37" s="71"/>
      <c r="E37" s="88">
        <f>E36/E20</f>
        <v>0.15805105525769364</v>
      </c>
      <c r="F37" s="88">
        <f t="shared" ref="F37:L37" si="15">F36/F20</f>
        <v>4.6733333333333321E-2</v>
      </c>
      <c r="G37" s="88">
        <f t="shared" si="15"/>
        <v>1.8286956521739131E-2</v>
      </c>
      <c r="H37" s="88">
        <f t="shared" si="15"/>
        <v>1.0385185185185159E-2</v>
      </c>
      <c r="I37" s="88">
        <f t="shared" si="15"/>
        <v>1.0385185185185204E-2</v>
      </c>
      <c r="J37" s="88">
        <f t="shared" si="15"/>
        <v>1.0385185185185147E-2</v>
      </c>
      <c r="K37" s="88">
        <f t="shared" si="15"/>
        <v>1.0385185185185204E-2</v>
      </c>
      <c r="L37" s="88">
        <f t="shared" si="15"/>
        <v>1.0385185185185187E-2</v>
      </c>
      <c r="M37" s="105"/>
      <c r="N37" s="105"/>
      <c r="O37" s="71"/>
      <c r="P37" s="71"/>
      <c r="Q37" s="71"/>
      <c r="R37" s="71"/>
      <c r="S37" s="71"/>
      <c r="T37" s="68"/>
    </row>
    <row r="38" spans="1:20" x14ac:dyDescent="0.2">
      <c r="A38" s="79"/>
      <c r="B38" s="103" t="s">
        <v>100</v>
      </c>
      <c r="C38" s="25"/>
      <c r="E38" s="90" t="s">
        <v>95</v>
      </c>
      <c r="F38" s="88">
        <f>F36/(F20-E20)</f>
        <v>0.14019999999999996</v>
      </c>
      <c r="G38" s="88">
        <f t="shared" ref="G38:L38" si="16">G36/(G20-F20)</f>
        <v>0.14019999999999999</v>
      </c>
      <c r="H38" s="88">
        <f t="shared" si="16"/>
        <v>0.14019999999999974</v>
      </c>
      <c r="I38" s="88">
        <f t="shared" si="16"/>
        <v>0.14020000000000038</v>
      </c>
      <c r="J38" s="88">
        <f t="shared" si="16"/>
        <v>0.14019999999999957</v>
      </c>
      <c r="K38" s="88">
        <f t="shared" si="16"/>
        <v>0.14020000000000027</v>
      </c>
      <c r="L38" s="88">
        <f t="shared" si="16"/>
        <v>0.14020000000000007</v>
      </c>
      <c r="M38" s="105"/>
      <c r="N38" s="105"/>
    </row>
    <row r="39" spans="1:20" x14ac:dyDescent="0.2">
      <c r="A39" s="79"/>
    </row>
    <row r="40" spans="1:20" x14ac:dyDescent="0.2">
      <c r="A40" s="79" t="s">
        <v>87</v>
      </c>
      <c r="B40" s="96" t="s">
        <v>101</v>
      </c>
      <c r="C40" s="96"/>
      <c r="D40" s="96"/>
      <c r="E40" s="111"/>
      <c r="F40" s="111"/>
      <c r="G40" s="111"/>
      <c r="H40" s="111"/>
      <c r="I40" s="111"/>
      <c r="J40" s="111"/>
      <c r="K40" s="111"/>
      <c r="L40" s="111"/>
      <c r="M40" s="98">
        <f>E29</f>
        <v>2021</v>
      </c>
      <c r="N40" s="98">
        <f>M40+1</f>
        <v>2022</v>
      </c>
      <c r="O40" s="333">
        <f t="shared" ref="O40" si="17">N40+1</f>
        <v>2023</v>
      </c>
      <c r="P40" s="100">
        <f t="shared" ref="P40" si="18">O40+1</f>
        <v>2024</v>
      </c>
      <c r="Q40" s="100">
        <f t="shared" ref="Q40" si="19">P40+1</f>
        <v>2025</v>
      </c>
      <c r="R40" s="100">
        <f t="shared" ref="R40" si="20">Q40+1</f>
        <v>2026</v>
      </c>
      <c r="S40" s="100">
        <f t="shared" ref="S40" si="21">R40+1</f>
        <v>2027</v>
      </c>
      <c r="T40" s="100">
        <f t="shared" ref="T40" si="22">S40+1</f>
        <v>2028</v>
      </c>
    </row>
    <row r="41" spans="1:20" x14ac:dyDescent="0.2">
      <c r="A41" s="79"/>
      <c r="B41" s="17" t="s">
        <v>113</v>
      </c>
      <c r="C41" s="17"/>
      <c r="D41" s="17"/>
      <c r="E41" s="43"/>
      <c r="F41" s="43"/>
      <c r="G41" s="43"/>
      <c r="H41" s="43"/>
      <c r="I41" s="43"/>
      <c r="J41" s="43"/>
      <c r="K41" s="43"/>
      <c r="L41" s="43"/>
      <c r="M41" s="108"/>
      <c r="N41" s="108"/>
      <c r="O41" s="108"/>
      <c r="P41" s="109">
        <v>1</v>
      </c>
      <c r="Q41" s="109">
        <f>P41+1</f>
        <v>2</v>
      </c>
      <c r="R41" s="109">
        <f>Q41+1</f>
        <v>3</v>
      </c>
      <c r="S41" s="109">
        <f>R41+1</f>
        <v>4</v>
      </c>
      <c r="T41" s="109">
        <f>S41+1</f>
        <v>5</v>
      </c>
    </row>
    <row r="42" spans="1:20" x14ac:dyDescent="0.2">
      <c r="A42" s="79"/>
      <c r="B42" s="67"/>
      <c r="C42" s="67"/>
      <c r="D42" s="67"/>
      <c r="M42" s="102"/>
      <c r="N42" s="102"/>
      <c r="O42" s="102"/>
      <c r="P42" s="101"/>
      <c r="Q42" s="101"/>
      <c r="R42" s="101"/>
      <c r="S42" s="101"/>
      <c r="T42" s="101"/>
    </row>
    <row r="43" spans="1:20" x14ac:dyDescent="0.2">
      <c r="B43" s="1" t="s">
        <v>3</v>
      </c>
      <c r="M43" s="92">
        <f>E20</f>
        <v>80667.5</v>
      </c>
      <c r="N43" s="92">
        <f>F20</f>
        <v>121001.25</v>
      </c>
      <c r="O43" s="92">
        <f>G20</f>
        <v>139151.4375</v>
      </c>
      <c r="P43" s="92">
        <f ca="1">O43*(1+P44)</f>
        <v>150283.55250000002</v>
      </c>
      <c r="Q43" s="92">
        <f t="shared" ref="Q43:T43" ca="1" si="23">P43*(1+Q44)</f>
        <v>162306.23670000004</v>
      </c>
      <c r="R43" s="92">
        <f t="shared" ca="1" si="23"/>
        <v>175290.73563600006</v>
      </c>
      <c r="S43" s="92">
        <f t="shared" ca="1" si="23"/>
        <v>189313.99448688008</v>
      </c>
      <c r="T43" s="92">
        <f t="shared" ca="1" si="23"/>
        <v>204459.1140458305</v>
      </c>
    </row>
    <row r="44" spans="1:20" x14ac:dyDescent="0.2">
      <c r="B44" s="25" t="s">
        <v>94</v>
      </c>
      <c r="C44" s="25"/>
      <c r="M44" s="90" t="s">
        <v>95</v>
      </c>
      <c r="N44" s="88">
        <f>N43/M43-1</f>
        <v>0.5</v>
      </c>
      <c r="O44" s="88">
        <f>O43/N43-1</f>
        <v>0.14999999999999991</v>
      </c>
      <c r="P44" s="88">
        <f ca="1">OFFSET(P44,$E$10,0)</f>
        <v>0.08</v>
      </c>
      <c r="Q44" s="88">
        <f t="shared" ref="Q44:T44" ca="1" si="24">OFFSET(Q44,$E$10,0)</f>
        <v>0.08</v>
      </c>
      <c r="R44" s="88">
        <f t="shared" ca="1" si="24"/>
        <v>0.08</v>
      </c>
      <c r="S44" s="88">
        <f t="shared" ca="1" si="24"/>
        <v>0.08</v>
      </c>
      <c r="T44" s="88">
        <f t="shared" ca="1" si="24"/>
        <v>0.08</v>
      </c>
    </row>
    <row r="45" spans="1:20" x14ac:dyDescent="0.2">
      <c r="B45" s="116" t="s">
        <v>102</v>
      </c>
      <c r="P45" s="93">
        <f>P46*(1+$J$10)</f>
        <v>6.4000000000000001E-2</v>
      </c>
      <c r="Q45" s="93">
        <f t="shared" ref="Q45:T45" si="25">Q46*(1+$J$10)</f>
        <v>6.4000000000000001E-2</v>
      </c>
      <c r="R45" s="93">
        <f t="shared" si="25"/>
        <v>6.4000000000000001E-2</v>
      </c>
      <c r="S45" s="93">
        <f t="shared" si="25"/>
        <v>6.4000000000000001E-2</v>
      </c>
      <c r="T45" s="94">
        <f t="shared" si="25"/>
        <v>6.4000000000000001E-2</v>
      </c>
    </row>
    <row r="46" spans="1:20" x14ac:dyDescent="0.2">
      <c r="B46" s="116" t="s">
        <v>115</v>
      </c>
      <c r="P46" s="94">
        <f>$O$10</f>
        <v>0.08</v>
      </c>
      <c r="Q46" s="94">
        <f t="shared" ref="Q46:T46" si="26">$O$10</f>
        <v>0.08</v>
      </c>
      <c r="R46" s="94">
        <f t="shared" si="26"/>
        <v>0.08</v>
      </c>
      <c r="S46" s="94">
        <f t="shared" si="26"/>
        <v>0.08</v>
      </c>
      <c r="T46" s="94">
        <f t="shared" si="26"/>
        <v>0.08</v>
      </c>
    </row>
    <row r="47" spans="1:20" x14ac:dyDescent="0.2">
      <c r="B47" s="116" t="s">
        <v>103</v>
      </c>
      <c r="P47" s="94">
        <f>P46*(1+$T$10)</f>
        <v>9.6000000000000002E-2</v>
      </c>
      <c r="Q47" s="94">
        <f t="shared" ref="Q47:T47" si="27">Q46*(1+$T$10)</f>
        <v>9.6000000000000002E-2</v>
      </c>
      <c r="R47" s="94">
        <f t="shared" si="27"/>
        <v>9.6000000000000002E-2</v>
      </c>
      <c r="S47" s="94">
        <f t="shared" si="27"/>
        <v>9.6000000000000002E-2</v>
      </c>
      <c r="T47" s="94">
        <f t="shared" si="27"/>
        <v>9.6000000000000002E-2</v>
      </c>
    </row>
    <row r="49" spans="2:20" x14ac:dyDescent="0.2">
      <c r="B49" s="1" t="s">
        <v>90</v>
      </c>
      <c r="E49" s="91"/>
      <c r="F49" s="91"/>
      <c r="G49" s="91"/>
      <c r="H49" s="91"/>
      <c r="I49" s="91"/>
      <c r="J49" s="91"/>
      <c r="K49" s="91"/>
      <c r="M49" s="92">
        <f>E23</f>
        <v>10828.44875</v>
      </c>
      <c r="N49" s="92">
        <f t="shared" ref="N49:O49" si="28">F23</f>
        <v>16293.671874999996</v>
      </c>
      <c r="O49" s="92">
        <f t="shared" si="28"/>
        <v>18625.970968749993</v>
      </c>
      <c r="P49" s="92">
        <f ca="1">P43*P50</f>
        <v>19536.861825000004</v>
      </c>
      <c r="Q49" s="92">
        <f t="shared" ref="Q49:T49" ca="1" si="29">Q43*Q50</f>
        <v>21099.810771000004</v>
      </c>
      <c r="R49" s="92">
        <f t="shared" ca="1" si="29"/>
        <v>22787.795632680009</v>
      </c>
      <c r="S49" s="92">
        <f t="shared" ca="1" si="29"/>
        <v>24610.819283294411</v>
      </c>
      <c r="T49" s="92">
        <f t="shared" ca="1" si="29"/>
        <v>26579.684825957967</v>
      </c>
    </row>
    <row r="50" spans="2:20" x14ac:dyDescent="0.2">
      <c r="B50" s="25" t="s">
        <v>96</v>
      </c>
      <c r="C50" s="25"/>
      <c r="E50" s="88"/>
      <c r="F50" s="88"/>
      <c r="G50" s="88"/>
      <c r="H50" s="88"/>
      <c r="I50" s="88"/>
      <c r="J50" s="88"/>
      <c r="K50" s="88"/>
      <c r="M50" s="88">
        <f>M49/M43</f>
        <v>0.1342355812439954</v>
      </c>
      <c r="N50" s="88">
        <f t="shared" ref="N50:O50" si="30">N49/N43</f>
        <v>0.13465705416266358</v>
      </c>
      <c r="O50" s="88">
        <f t="shared" si="30"/>
        <v>0.13385396014144657</v>
      </c>
      <c r="P50" s="88">
        <f ca="1">OFFSET(P50,$E$11,0)</f>
        <v>0.13</v>
      </c>
      <c r="Q50" s="88">
        <f t="shared" ref="Q50:T50" ca="1" si="31">OFFSET(Q50,$E$11,0)</f>
        <v>0.13</v>
      </c>
      <c r="R50" s="88">
        <f t="shared" ca="1" si="31"/>
        <v>0.13</v>
      </c>
      <c r="S50" s="88">
        <f t="shared" ca="1" si="31"/>
        <v>0.13</v>
      </c>
      <c r="T50" s="88">
        <f t="shared" ca="1" si="31"/>
        <v>0.13</v>
      </c>
    </row>
    <row r="51" spans="2:20" x14ac:dyDescent="0.2">
      <c r="B51" s="116" t="s">
        <v>102</v>
      </c>
      <c r="C51" s="25"/>
      <c r="P51" s="94">
        <f>P52*(1+$J$11)</f>
        <v>0.11700000000000001</v>
      </c>
      <c r="Q51" s="94">
        <f t="shared" ref="Q51:T51" si="32">Q52*(1+$J$11)</f>
        <v>0.11700000000000001</v>
      </c>
      <c r="R51" s="94">
        <f t="shared" si="32"/>
        <v>0.11700000000000001</v>
      </c>
      <c r="S51" s="94">
        <f t="shared" si="32"/>
        <v>0.11700000000000001</v>
      </c>
      <c r="T51" s="94">
        <f t="shared" si="32"/>
        <v>0.11700000000000001</v>
      </c>
    </row>
    <row r="52" spans="2:20" x14ac:dyDescent="0.2">
      <c r="B52" s="116" t="s">
        <v>115</v>
      </c>
      <c r="C52" s="25"/>
      <c r="P52" s="94">
        <f>$O$11</f>
        <v>0.13</v>
      </c>
      <c r="Q52" s="94">
        <f t="shared" ref="Q52:T52" si="33">$O$11</f>
        <v>0.13</v>
      </c>
      <c r="R52" s="94">
        <f t="shared" si="33"/>
        <v>0.13</v>
      </c>
      <c r="S52" s="94">
        <f t="shared" si="33"/>
        <v>0.13</v>
      </c>
      <c r="T52" s="94">
        <f t="shared" si="33"/>
        <v>0.13</v>
      </c>
    </row>
    <row r="53" spans="2:20" x14ac:dyDescent="0.2">
      <c r="B53" s="116" t="s">
        <v>103</v>
      </c>
      <c r="C53" s="25"/>
      <c r="P53" s="94">
        <f>P52*(1+T11)</f>
        <v>0.14300000000000002</v>
      </c>
      <c r="Q53" s="94">
        <f t="shared" ref="Q53:T53" si="34">Q52*(1+$T$11)</f>
        <v>0.14300000000000002</v>
      </c>
      <c r="R53" s="94">
        <f t="shared" si="34"/>
        <v>0.14300000000000002</v>
      </c>
      <c r="S53" s="94">
        <f t="shared" si="34"/>
        <v>0.14300000000000002</v>
      </c>
      <c r="T53" s="94">
        <f t="shared" si="34"/>
        <v>0.14300000000000002</v>
      </c>
    </row>
    <row r="55" spans="2:20" x14ac:dyDescent="0.2">
      <c r="B55" s="1" t="s">
        <v>17</v>
      </c>
      <c r="E55" s="95"/>
      <c r="F55" s="95"/>
      <c r="G55" s="95"/>
      <c r="H55" s="95"/>
      <c r="I55" s="95"/>
      <c r="J55" s="95"/>
      <c r="K55" s="95"/>
      <c r="M55" s="92">
        <f>E26</f>
        <v>1857.6284607136106</v>
      </c>
      <c r="N55" s="92">
        <f t="shared" ref="N55:O55" si="35">F26</f>
        <v>3099.795314686105</v>
      </c>
      <c r="O55" s="92">
        <f t="shared" si="35"/>
        <v>3112.6886719480622</v>
      </c>
      <c r="P55" s="92">
        <f ca="1">P49*P56</f>
        <v>4102.7409832500007</v>
      </c>
      <c r="Q55" s="92">
        <f t="shared" ref="Q55:T55" ca="1" si="36">Q49*Q56</f>
        <v>4430.9602619100006</v>
      </c>
      <c r="R55" s="92">
        <f t="shared" ca="1" si="36"/>
        <v>4785.4370828628016</v>
      </c>
      <c r="S55" s="92">
        <f t="shared" ca="1" si="36"/>
        <v>5168.2720494918258</v>
      </c>
      <c r="T55" s="92">
        <f t="shared" ca="1" si="36"/>
        <v>5581.7338134511729</v>
      </c>
    </row>
    <row r="56" spans="2:20" x14ac:dyDescent="0.2">
      <c r="B56" s="25" t="s">
        <v>97</v>
      </c>
      <c r="C56" s="25"/>
      <c r="E56" s="88"/>
      <c r="F56" s="88"/>
      <c r="G56" s="88"/>
      <c r="H56" s="88"/>
      <c r="I56" s="88"/>
      <c r="J56" s="88"/>
      <c r="K56" s="88"/>
      <c r="M56" s="88">
        <f>E27</f>
        <v>0.21</v>
      </c>
      <c r="N56" s="88">
        <f t="shared" ref="N56:O56" si="37">F27</f>
        <v>0.21</v>
      </c>
      <c r="O56" s="88">
        <f t="shared" si="37"/>
        <v>0.21</v>
      </c>
      <c r="P56" s="113">
        <f>O56</f>
        <v>0.21</v>
      </c>
      <c r="Q56" s="113">
        <f>P56</f>
        <v>0.21</v>
      </c>
      <c r="R56" s="113">
        <f t="shared" ref="R56:T56" si="38">Q56</f>
        <v>0.21</v>
      </c>
      <c r="S56" s="113">
        <f t="shared" si="38"/>
        <v>0.21</v>
      </c>
      <c r="T56" s="113">
        <f t="shared" si="38"/>
        <v>0.21</v>
      </c>
    </row>
    <row r="58" spans="2:20" x14ac:dyDescent="0.2">
      <c r="B58" s="114" t="s">
        <v>104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5"/>
      <c r="P58" s="115">
        <f ca="1">P49-P55</f>
        <v>15434.120841750002</v>
      </c>
      <c r="Q58" s="115">
        <f t="shared" ref="Q58:T58" ca="1" si="39">Q49-Q55</f>
        <v>16668.850509090003</v>
      </c>
      <c r="R58" s="115">
        <f t="shared" ca="1" si="39"/>
        <v>18002.358549817207</v>
      </c>
      <c r="S58" s="115">
        <f t="shared" ca="1" si="39"/>
        <v>19442.547233802587</v>
      </c>
      <c r="T58" s="115">
        <f t="shared" ca="1" si="39"/>
        <v>20997.951012506794</v>
      </c>
    </row>
    <row r="60" spans="2:20" x14ac:dyDescent="0.2">
      <c r="B60" s="1" t="s">
        <v>66</v>
      </c>
      <c r="F60" s="91"/>
      <c r="G60" s="91"/>
      <c r="H60" s="91"/>
      <c r="I60" s="91"/>
      <c r="J60" s="91"/>
      <c r="K60" s="91"/>
      <c r="L60" s="91"/>
      <c r="M60" s="92">
        <f>E30</f>
        <v>465.00125000000003</v>
      </c>
      <c r="N60" s="92">
        <f t="shared" ref="N60:O60" si="40">F30</f>
        <v>646.50312499999995</v>
      </c>
      <c r="O60" s="92">
        <f t="shared" si="40"/>
        <v>855.23028124999996</v>
      </c>
      <c r="P60" s="92">
        <f t="shared" ref="P60" si="41">H30</f>
        <v>1080.6556099999998</v>
      </c>
      <c r="Q60" s="92">
        <f t="shared" ref="Q60" si="42">I30</f>
        <v>1324.1149650499999</v>
      </c>
      <c r="R60" s="92">
        <f t="shared" ref="R60" si="43">J30</f>
        <v>1587.0510685039999</v>
      </c>
      <c r="S60" s="92">
        <f t="shared" ref="S60" si="44">K30</f>
        <v>1871.0220602343197</v>
      </c>
      <c r="T60" s="92">
        <f t="shared" ref="T60" si="45">L30</f>
        <v>2177.7107313030651</v>
      </c>
    </row>
    <row r="61" spans="2:20" x14ac:dyDescent="0.2">
      <c r="B61" s="103" t="s">
        <v>96</v>
      </c>
      <c r="F61" s="88"/>
      <c r="G61" s="88"/>
      <c r="H61" s="88"/>
      <c r="I61" s="88"/>
      <c r="J61" s="88"/>
      <c r="K61" s="88"/>
      <c r="L61" s="88"/>
      <c r="M61" s="106">
        <f>M60/M43</f>
        <v>5.7644187560045874E-3</v>
      </c>
      <c r="N61" s="106">
        <f t="shared" ref="N61:T61" si="46">N60/N43</f>
        <v>5.3429458373363912E-3</v>
      </c>
      <c r="O61" s="106">
        <f t="shared" si="46"/>
        <v>6.1460398585533836E-3</v>
      </c>
      <c r="P61" s="106">
        <f t="shared" ca="1" si="46"/>
        <v>7.1907776468086862E-3</v>
      </c>
      <c r="Q61" s="106">
        <f t="shared" ca="1" si="46"/>
        <v>8.1581274507487832E-3</v>
      </c>
      <c r="R61" s="106">
        <f t="shared" ca="1" si="46"/>
        <v>9.05382171365628E-3</v>
      </c>
      <c r="S61" s="106">
        <f t="shared" ca="1" si="46"/>
        <v>9.8831682533854423E-3</v>
      </c>
      <c r="T61" s="106">
        <f t="shared" ca="1" si="46"/>
        <v>1.0651081716097629E-2</v>
      </c>
    </row>
    <row r="63" spans="2:20" x14ac:dyDescent="0.2">
      <c r="B63" s="1" t="s">
        <v>98</v>
      </c>
      <c r="F63" s="91"/>
      <c r="G63" s="91"/>
      <c r="H63" s="91"/>
      <c r="I63" s="91"/>
      <c r="J63" s="91"/>
      <c r="K63" s="91"/>
      <c r="L63" s="91"/>
      <c r="M63" s="92">
        <f>E33</f>
        <v>1210.0125</v>
      </c>
      <c r="N63" s="92">
        <f t="shared" ref="N63:T63" si="47">F33</f>
        <v>1815.01875</v>
      </c>
      <c r="O63" s="92">
        <f t="shared" si="47"/>
        <v>2087.2715625000001</v>
      </c>
      <c r="P63" s="92">
        <f t="shared" si="47"/>
        <v>2254.2532874999997</v>
      </c>
      <c r="Q63" s="92">
        <f t="shared" si="47"/>
        <v>2434.5935504999998</v>
      </c>
      <c r="R63" s="92">
        <f t="shared" si="47"/>
        <v>2629.3610345399993</v>
      </c>
      <c r="S63" s="92">
        <f t="shared" si="47"/>
        <v>2839.7099173031993</v>
      </c>
      <c r="T63" s="92">
        <f t="shared" si="47"/>
        <v>3066.8867106874554</v>
      </c>
    </row>
    <row r="64" spans="2:20" x14ac:dyDescent="0.2">
      <c r="B64" s="103" t="s">
        <v>96</v>
      </c>
      <c r="C64" s="25"/>
      <c r="F64" s="88"/>
      <c r="G64" s="88"/>
      <c r="H64" s="88"/>
      <c r="I64" s="88"/>
      <c r="J64" s="88"/>
      <c r="K64" s="88"/>
      <c r="L64" s="88"/>
      <c r="M64" s="88">
        <f>M63/M43</f>
        <v>1.5000000000000001E-2</v>
      </c>
      <c r="N64" s="88">
        <f t="shared" ref="N64:T64" si="48">N63/N43</f>
        <v>1.4999999999999999E-2</v>
      </c>
      <c r="O64" s="88">
        <f t="shared" si="48"/>
        <v>1.5000000000000001E-2</v>
      </c>
      <c r="P64" s="88">
        <f t="shared" ca="1" si="48"/>
        <v>1.4999999999999996E-2</v>
      </c>
      <c r="Q64" s="88">
        <f t="shared" ca="1" si="48"/>
        <v>1.4999999999999994E-2</v>
      </c>
      <c r="R64" s="88">
        <f t="shared" ca="1" si="48"/>
        <v>1.4999999999999991E-2</v>
      </c>
      <c r="S64" s="88">
        <f t="shared" ca="1" si="48"/>
        <v>1.4999999999999989E-2</v>
      </c>
      <c r="T64" s="88">
        <f t="shared" ca="1" si="48"/>
        <v>1.4999999999999989E-2</v>
      </c>
    </row>
    <row r="66" spans="1:20" x14ac:dyDescent="0.2">
      <c r="B66" s="1" t="s">
        <v>99</v>
      </c>
      <c r="F66" s="91"/>
      <c r="G66" s="91"/>
      <c r="H66" s="91"/>
      <c r="I66" s="91"/>
      <c r="J66" s="91"/>
      <c r="K66" s="91"/>
      <c r="L66" s="91"/>
      <c r="M66" s="92">
        <f>E36</f>
        <v>12749.583500000001</v>
      </c>
      <c r="N66" s="92">
        <f t="shared" ref="N66:T66" si="49">F36</f>
        <v>5654.7917499999985</v>
      </c>
      <c r="O66" s="92">
        <f t="shared" si="49"/>
        <v>2544.6562875</v>
      </c>
      <c r="P66" s="92">
        <f t="shared" si="49"/>
        <v>1560.7225229999958</v>
      </c>
      <c r="Q66" s="92">
        <f t="shared" si="49"/>
        <v>1685.580324840003</v>
      </c>
      <c r="R66" s="92">
        <f t="shared" si="49"/>
        <v>1820.4267508271928</v>
      </c>
      <c r="S66" s="92">
        <f t="shared" si="49"/>
        <v>1966.0608908933791</v>
      </c>
      <c r="T66" s="92">
        <f t="shared" si="49"/>
        <v>2123.3457621648458</v>
      </c>
    </row>
    <row r="67" spans="1:20" x14ac:dyDescent="0.2">
      <c r="B67" s="103" t="s">
        <v>96</v>
      </c>
      <c r="C67" s="25"/>
      <c r="F67" s="88"/>
      <c r="G67" s="88"/>
      <c r="H67" s="88"/>
      <c r="I67" s="88"/>
      <c r="J67" s="88"/>
      <c r="K67" s="88"/>
      <c r="L67" s="88"/>
      <c r="M67" s="88">
        <f>M66/M43</f>
        <v>0.15805105525769364</v>
      </c>
      <c r="N67" s="88">
        <f t="shared" ref="N67:T67" si="50">N66/N43</f>
        <v>4.6733333333333321E-2</v>
      </c>
      <c r="O67" s="88">
        <f t="shared" si="50"/>
        <v>1.8286956521739131E-2</v>
      </c>
      <c r="P67" s="88">
        <f t="shared" ca="1" si="50"/>
        <v>1.0385185185185155E-2</v>
      </c>
      <c r="Q67" s="88">
        <f t="shared" ca="1" si="50"/>
        <v>1.03851851851852E-2</v>
      </c>
      <c r="R67" s="88">
        <f t="shared" ca="1" si="50"/>
        <v>1.0385185185185141E-2</v>
      </c>
      <c r="S67" s="88">
        <f t="shared" ca="1" si="50"/>
        <v>1.0385185185185197E-2</v>
      </c>
      <c r="T67" s="88">
        <f t="shared" ca="1" si="50"/>
        <v>1.038518518518518E-2</v>
      </c>
    </row>
    <row r="69" spans="1:20" x14ac:dyDescent="0.2">
      <c r="B69" s="131" t="s">
        <v>105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2"/>
      <c r="P69" s="132">
        <f ca="1">P58+P60-P63-P66</f>
        <v>12699.800641250007</v>
      </c>
      <c r="Q69" s="132">
        <f t="shared" ref="Q69:T69" ca="1" si="51">Q58+Q60-Q63-Q66</f>
        <v>13872.791598800002</v>
      </c>
      <c r="R69" s="132">
        <f t="shared" ca="1" si="51"/>
        <v>15139.621832954015</v>
      </c>
      <c r="S69" s="132">
        <f t="shared" ca="1" si="51"/>
        <v>16507.798485840325</v>
      </c>
      <c r="T69" s="132">
        <f t="shared" ca="1" si="51"/>
        <v>17985.429270957557</v>
      </c>
    </row>
    <row r="70" spans="1:20" x14ac:dyDescent="0.2">
      <c r="B70" s="129" t="s">
        <v>139</v>
      </c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30"/>
      <c r="P70" s="130">
        <f ca="1">P69/(1+wacc)^P41</f>
        <v>11393.840205189008</v>
      </c>
      <c r="Q70" s="130">
        <f ca="1">Q69/(1+wacc)^Q41</f>
        <v>11166.326022947473</v>
      </c>
      <c r="R70" s="130">
        <f ca="1">R69/(1+wacc)^R41</f>
        <v>10932.882725622285</v>
      </c>
      <c r="S70" s="130">
        <f ca="1">S69/(1+wacc)^S41</f>
        <v>10695.030854823182</v>
      </c>
      <c r="T70" s="130">
        <f ca="1">T69/(1+wacc)^T41</f>
        <v>10454.106299826506</v>
      </c>
    </row>
    <row r="72" spans="1:20" x14ac:dyDescent="0.2">
      <c r="P72" s="95"/>
    </row>
    <row r="73" spans="1:20" s="67" customFormat="1" x14ac:dyDescent="0.2">
      <c r="A73" s="79" t="s">
        <v>87</v>
      </c>
      <c r="B73" s="96" t="s">
        <v>142</v>
      </c>
      <c r="C73" s="96"/>
      <c r="D73" s="96"/>
      <c r="E73" s="96"/>
      <c r="F73" s="96"/>
      <c r="G73" s="96"/>
      <c r="H73" s="96"/>
      <c r="I73" s="96" t="s">
        <v>270</v>
      </c>
      <c r="J73" s="96"/>
      <c r="K73" s="96"/>
      <c r="L73" s="96"/>
      <c r="M73" s="96"/>
      <c r="P73" s="224"/>
    </row>
    <row r="74" spans="1:20" s="67" customFormat="1" x14ac:dyDescent="0.2">
      <c r="A74" s="79"/>
    </row>
    <row r="75" spans="1:20" ht="15" customHeight="1" x14ac:dyDescent="0.25">
      <c r="B75" s="1" t="s">
        <v>106</v>
      </c>
      <c r="G75" s="92">
        <f ca="1">(T69*(1+tgr))/(wacc-tgr)</f>
        <v>205702.88544627611</v>
      </c>
      <c r="I75" s="366" t="s">
        <v>91</v>
      </c>
      <c r="J75" s="363" t="s">
        <v>144</v>
      </c>
      <c r="K75" s="363"/>
      <c r="L75" s="363"/>
      <c r="M75" s="363"/>
      <c r="N75" s="229"/>
      <c r="O75" s="364"/>
      <c r="P75" s="365"/>
      <c r="Q75" s="365"/>
      <c r="R75" s="365"/>
      <c r="S75" s="365"/>
    </row>
    <row r="76" spans="1:20" ht="13.5" thickBot="1" x14ac:dyDescent="0.25">
      <c r="B76" s="1" t="s">
        <v>140</v>
      </c>
      <c r="G76" s="92">
        <f ca="1">G75/(1+wacc)^$T$41</f>
        <v>119565.66608665184</v>
      </c>
      <c r="I76" s="366"/>
      <c r="J76" s="279">
        <f ca="1">G87</f>
        <v>8.9423567858814828</v>
      </c>
      <c r="K76" s="306">
        <v>0.02</v>
      </c>
      <c r="L76" s="306">
        <v>2.5000000000000001E-2</v>
      </c>
      <c r="M76" s="306">
        <v>0.03</v>
      </c>
      <c r="N76" s="281"/>
      <c r="O76" s="364"/>
      <c r="P76" s="279"/>
      <c r="Q76" s="293"/>
      <c r="R76" s="294"/>
      <c r="S76" s="295"/>
    </row>
    <row r="77" spans="1:20" x14ac:dyDescent="0.2">
      <c r="I77" s="366"/>
      <c r="J77" s="305">
        <v>0.105</v>
      </c>
      <c r="K77" s="289">
        <f t="dataTable" ref="K77:M79" dt2D="1" dtr="1" r1="E17" r2="E16" ca="1"/>
        <v>9.6026364006434921</v>
      </c>
      <c r="L77" s="290">
        <v>10.057956743915554</v>
      </c>
      <c r="M77" s="290">
        <v>10.573986466290558</v>
      </c>
      <c r="N77" s="220"/>
      <c r="O77" s="364"/>
      <c r="P77" s="304"/>
      <c r="Q77" s="291"/>
      <c r="R77" s="290"/>
      <c r="S77" s="290"/>
    </row>
    <row r="78" spans="1:20" x14ac:dyDescent="0.2">
      <c r="B78" s="6" t="s">
        <v>107</v>
      </c>
      <c r="C78" s="6"/>
      <c r="D78" s="6"/>
      <c r="E78" s="6"/>
      <c r="F78" s="6"/>
      <c r="G78" s="224">
        <f ca="1">SUM(P70:T70,G76)</f>
        <v>174207.85219506029</v>
      </c>
      <c r="I78" s="366"/>
      <c r="J78" s="305">
        <v>0.115</v>
      </c>
      <c r="K78" s="289">
        <v>8.5538877557413517</v>
      </c>
      <c r="L78" s="303">
        <v>8.9031965302751548</v>
      </c>
      <c r="M78" s="290">
        <v>9.2936004547541113</v>
      </c>
      <c r="N78" s="220"/>
      <c r="O78" s="364"/>
      <c r="P78" s="304"/>
      <c r="Q78" s="291"/>
      <c r="R78" s="290"/>
      <c r="S78" s="290"/>
    </row>
    <row r="79" spans="1:20" x14ac:dyDescent="0.2">
      <c r="B79" s="51" t="s">
        <v>108</v>
      </c>
      <c r="G79" s="223">
        <f>Financials!F27</f>
        <v>35429.562982674324</v>
      </c>
      <c r="I79" s="366"/>
      <c r="J79" s="305">
        <v>0.125</v>
      </c>
      <c r="K79" s="289">
        <v>7.7061001485567724</v>
      </c>
      <c r="L79" s="290">
        <v>7.9805580197986545</v>
      </c>
      <c r="M79" s="290">
        <v>8.283906193276529</v>
      </c>
      <c r="N79" s="220"/>
      <c r="O79" s="364"/>
      <c r="P79" s="304"/>
      <c r="Q79" s="291"/>
      <c r="R79" s="290"/>
      <c r="S79" s="290"/>
    </row>
    <row r="80" spans="1:20" ht="13.9" customHeight="1" x14ac:dyDescent="0.2">
      <c r="B80" s="60" t="s">
        <v>109</v>
      </c>
      <c r="C80" s="37"/>
      <c r="D80" s="37"/>
      <c r="E80" s="37"/>
      <c r="F80" s="37"/>
      <c r="G80" s="181">
        <f>Financials!F40</f>
        <v>27683.117953879057</v>
      </c>
      <c r="I80" s="292"/>
      <c r="J80" s="280"/>
      <c r="K80" s="222"/>
      <c r="L80" s="220"/>
      <c r="M80" s="220"/>
      <c r="N80" s="282"/>
      <c r="O80" s="220"/>
      <c r="P80" s="220"/>
      <c r="Q80" s="220"/>
    </row>
    <row r="81" spans="2:17" x14ac:dyDescent="0.2">
      <c r="B81" s="6" t="s">
        <v>110</v>
      </c>
      <c r="C81" s="6"/>
      <c r="D81" s="6"/>
      <c r="E81" s="6"/>
      <c r="F81" s="6"/>
      <c r="G81" s="224">
        <f ca="1">G78+G79-G80</f>
        <v>181954.29722385557</v>
      </c>
      <c r="I81" s="226"/>
      <c r="J81" s="221"/>
      <c r="K81" s="222"/>
      <c r="L81" s="220"/>
      <c r="M81" s="220"/>
      <c r="N81" s="220"/>
      <c r="O81" s="220"/>
      <c r="P81" s="220"/>
      <c r="Q81" s="220"/>
    </row>
    <row r="82" spans="2:17" ht="15" customHeight="1" x14ac:dyDescent="0.25">
      <c r="I82" s="96" t="s">
        <v>271</v>
      </c>
      <c r="J82" s="96"/>
      <c r="K82" s="96"/>
      <c r="L82" s="96"/>
      <c r="M82" s="96"/>
      <c r="N82" s="67"/>
      <c r="O82" s="229"/>
      <c r="P82" s="220"/>
      <c r="Q82" s="220"/>
    </row>
    <row r="83" spans="2:17" ht="15" customHeight="1" x14ac:dyDescent="0.25">
      <c r="I83" s="67"/>
      <c r="J83" s="67"/>
      <c r="K83" s="67"/>
      <c r="L83" s="67"/>
      <c r="M83" s="67"/>
      <c r="N83" s="67"/>
      <c r="O83" s="229"/>
      <c r="P83" s="220"/>
      <c r="Q83" s="220"/>
    </row>
    <row r="84" spans="2:17" ht="13.9" customHeight="1" x14ac:dyDescent="0.25">
      <c r="B84" s="1" t="s">
        <v>143</v>
      </c>
      <c r="G84" s="223">
        <f>Financials!F22</f>
        <v>19481.201249999995</v>
      </c>
      <c r="I84" s="366" t="s">
        <v>90</v>
      </c>
      <c r="J84" s="363" t="s">
        <v>273</v>
      </c>
      <c r="K84" s="363"/>
      <c r="L84" s="363"/>
      <c r="M84" s="363"/>
      <c r="N84" s="229"/>
      <c r="O84" s="220"/>
      <c r="P84" s="220"/>
      <c r="Q84" s="220"/>
    </row>
    <row r="85" spans="2:17" ht="13.5" thickBot="1" x14ac:dyDescent="0.25">
      <c r="I85" s="366"/>
      <c r="J85" s="279">
        <f ca="1">G78</f>
        <v>174207.85219506029</v>
      </c>
      <c r="K85" s="310">
        <v>1</v>
      </c>
      <c r="L85" s="311">
        <v>2</v>
      </c>
      <c r="M85" s="312">
        <v>3</v>
      </c>
      <c r="N85" s="283"/>
      <c r="O85" s="228"/>
    </row>
    <row r="86" spans="2:17" x14ac:dyDescent="0.2">
      <c r="I86" s="366"/>
      <c r="J86" s="307">
        <v>1</v>
      </c>
      <c r="K86" s="301">
        <f t="dataTable" ref="K86:N89" dt2D="1" dtr="1" r1="E10" r2="E11" ca="1"/>
        <v>142208.48474828256</v>
      </c>
      <c r="L86" s="302">
        <v>153742.02714437738</v>
      </c>
      <c r="M86" s="302">
        <v>165925.89772144903</v>
      </c>
      <c r="N86" s="283">
        <v>165925.89772144903</v>
      </c>
      <c r="O86" s="220"/>
    </row>
    <row r="87" spans="2:17" x14ac:dyDescent="0.2">
      <c r="B87" s="40" t="s">
        <v>141</v>
      </c>
      <c r="C87" s="40"/>
      <c r="D87" s="40"/>
      <c r="E87" s="40"/>
      <c r="F87" s="40"/>
      <c r="G87" s="136">
        <f ca="1">G78/G84</f>
        <v>8.9423567858814828</v>
      </c>
      <c r="I87" s="366"/>
      <c r="J87" s="308">
        <v>2</v>
      </c>
      <c r="K87" s="301">
        <v>161392.80508828827</v>
      </c>
      <c r="L87" s="313">
        <v>174207.85219506029</v>
      </c>
      <c r="M87" s="302">
        <v>187745.48616958433</v>
      </c>
      <c r="N87" s="283">
        <v>187745.48616958433</v>
      </c>
      <c r="O87" s="220"/>
    </row>
    <row r="88" spans="2:17" x14ac:dyDescent="0.2">
      <c r="I88" s="366"/>
      <c r="J88" s="309">
        <v>3</v>
      </c>
      <c r="K88" s="301">
        <v>180577.12542829395</v>
      </c>
      <c r="L88" s="302">
        <v>194673.67724574319</v>
      </c>
      <c r="M88" s="302">
        <v>209565.07461771963</v>
      </c>
      <c r="N88" s="283">
        <v>209565.07461771963</v>
      </c>
      <c r="O88" s="220"/>
    </row>
    <row r="89" spans="2:17" x14ac:dyDescent="0.2">
      <c r="I89" s="292"/>
      <c r="J89" s="280"/>
      <c r="K89" s="283">
        <v>180577.12542829395</v>
      </c>
      <c r="L89" s="283">
        <v>194673.67724574319</v>
      </c>
      <c r="M89" s="283">
        <v>209565.07461771963</v>
      </c>
      <c r="N89" s="283">
        <v>209565.07461771963</v>
      </c>
      <c r="O89" s="227"/>
    </row>
    <row r="90" spans="2:17" x14ac:dyDescent="0.2">
      <c r="B90" s="247"/>
      <c r="C90" s="248" t="s">
        <v>209</v>
      </c>
      <c r="D90" s="249"/>
      <c r="E90" s="250"/>
      <c r="F90" s="249">
        <f>MAX(K77:M79)</f>
        <v>10.573986466290558</v>
      </c>
      <c r="G90" s="251"/>
    </row>
    <row r="91" spans="2:17" x14ac:dyDescent="0.2">
      <c r="B91" s="252"/>
      <c r="C91" s="253" t="s">
        <v>213</v>
      </c>
      <c r="D91" s="254"/>
      <c r="E91" s="255"/>
      <c r="F91" s="254">
        <f>QUARTILE(K77:M79,3)</f>
        <v>9.6026364006434921</v>
      </c>
      <c r="G91" s="256"/>
    </row>
    <row r="92" spans="2:17" x14ac:dyDescent="0.2">
      <c r="B92" s="257"/>
      <c r="C92" s="258" t="s">
        <v>210</v>
      </c>
      <c r="D92" s="259"/>
      <c r="E92" s="260"/>
      <c r="F92" s="259">
        <f>AVERAGE(K77:M79)</f>
        <v>8.9950920792502416</v>
      </c>
      <c r="G92" s="261"/>
    </row>
    <row r="93" spans="2:17" x14ac:dyDescent="0.2">
      <c r="B93" s="257"/>
      <c r="C93" s="258" t="s">
        <v>211</v>
      </c>
      <c r="D93" s="259"/>
      <c r="E93" s="260"/>
      <c r="F93" s="259">
        <f>MEDIAN(K77:M79)</f>
        <v>8.9031965302751548</v>
      </c>
      <c r="G93" s="261"/>
    </row>
    <row r="94" spans="2:17" x14ac:dyDescent="0.2">
      <c r="B94" s="252"/>
      <c r="C94" s="253" t="s">
        <v>214</v>
      </c>
      <c r="D94" s="254"/>
      <c r="E94" s="255"/>
      <c r="F94" s="254">
        <f>QUARTILE(K77:M79,1)</f>
        <v>8.283906193276529</v>
      </c>
      <c r="G94" s="256"/>
    </row>
    <row r="95" spans="2:17" x14ac:dyDescent="0.2">
      <c r="B95" s="262"/>
      <c r="C95" s="263" t="s">
        <v>212</v>
      </c>
      <c r="D95" s="264"/>
      <c r="E95" s="265"/>
      <c r="F95" s="264">
        <f>MIN(K77:M79)</f>
        <v>7.7061001485567724</v>
      </c>
      <c r="G95" s="266"/>
    </row>
    <row r="99" spans="1:19" s="67" customFormat="1" x14ac:dyDescent="0.2">
      <c r="A99" s="79" t="s">
        <v>87</v>
      </c>
      <c r="B99" s="96" t="s">
        <v>244</v>
      </c>
      <c r="C99" s="96"/>
      <c r="D99" s="96"/>
      <c r="E99" s="96"/>
      <c r="F99" s="96"/>
      <c r="G99" s="96"/>
      <c r="H99" s="96"/>
      <c r="I99" s="96" t="s">
        <v>270</v>
      </c>
      <c r="J99" s="96"/>
      <c r="K99" s="96"/>
      <c r="L99" s="96"/>
      <c r="M99" s="96"/>
    </row>
    <row r="101" spans="1:19" ht="13.9" customHeight="1" x14ac:dyDescent="0.25">
      <c r="B101" s="6" t="s">
        <v>245</v>
      </c>
      <c r="G101" s="269">
        <v>8</v>
      </c>
      <c r="I101" s="366" t="s">
        <v>91</v>
      </c>
      <c r="J101" s="363" t="s">
        <v>245</v>
      </c>
      <c r="K101" s="363"/>
      <c r="L101" s="363"/>
      <c r="M101" s="363"/>
      <c r="N101" s="229"/>
    </row>
    <row r="102" spans="1:19" ht="13.5" thickBot="1" x14ac:dyDescent="0.25">
      <c r="I102" s="366"/>
      <c r="J102" s="279">
        <f ca="1">G115</f>
        <v>9.6372923149838297</v>
      </c>
      <c r="K102" s="314">
        <v>7</v>
      </c>
      <c r="L102" s="314">
        <v>8</v>
      </c>
      <c r="M102" s="314">
        <v>9</v>
      </c>
      <c r="N102" s="281"/>
    </row>
    <row r="103" spans="1:19" x14ac:dyDescent="0.2">
      <c r="B103" s="1" t="s">
        <v>106</v>
      </c>
      <c r="G103" s="92">
        <f>G101*G111</f>
        <v>228994.20773132989</v>
      </c>
      <c r="I103" s="366"/>
      <c r="J103" s="305">
        <v>0.105</v>
      </c>
      <c r="K103" s="289">
        <f t="dataTable" ref="K103:M105" dt2D="1" dtr="1" r1="G101" r2="E16" ca="1"/>
        <v>9.121079008244978</v>
      </c>
      <c r="L103" s="290">
        <v>10.012960984146684</v>
      </c>
      <c r="M103" s="290">
        <v>10.904842960048388</v>
      </c>
      <c r="N103" s="220"/>
      <c r="O103" s="225"/>
      <c r="P103" s="225"/>
      <c r="Q103" s="225"/>
      <c r="R103" s="225"/>
      <c r="S103" s="225"/>
    </row>
    <row r="104" spans="1:19" x14ac:dyDescent="0.2">
      <c r="B104" s="1" t="s">
        <v>140</v>
      </c>
      <c r="G104" s="92">
        <f>G103/(1+wacc)^$T$41</f>
        <v>133103.84498486985</v>
      </c>
      <c r="I104" s="366"/>
      <c r="J104" s="305">
        <v>0.115</v>
      </c>
      <c r="K104" s="289">
        <v>8.7702288285352861</v>
      </c>
      <c r="L104" s="303">
        <v>9.6228270856276428</v>
      </c>
      <c r="M104" s="290">
        <v>10.475425342719998</v>
      </c>
      <c r="N104" s="220"/>
      <c r="O104" s="225"/>
      <c r="P104" s="225"/>
      <c r="Q104" s="225"/>
      <c r="R104" s="225"/>
      <c r="S104" s="225"/>
    </row>
    <row r="105" spans="1:19" x14ac:dyDescent="0.2">
      <c r="I105" s="366"/>
      <c r="J105" s="305">
        <v>0.125</v>
      </c>
      <c r="K105" s="289">
        <v>8.4368729665705864</v>
      </c>
      <c r="L105" s="290">
        <v>9.2522456641705855</v>
      </c>
      <c r="M105" s="290">
        <v>10.067618361770586</v>
      </c>
      <c r="N105" s="220"/>
    </row>
    <row r="106" spans="1:19" x14ac:dyDescent="0.2">
      <c r="B106" s="6" t="s">
        <v>107</v>
      </c>
      <c r="C106" s="6"/>
      <c r="D106" s="6"/>
      <c r="E106" s="6"/>
      <c r="F106" s="6"/>
      <c r="G106" s="224">
        <f ca="1">SUM(P70:T70,G104)</f>
        <v>187746.03109327832</v>
      </c>
      <c r="I106" s="292"/>
      <c r="J106" s="280"/>
      <c r="K106" s="222"/>
      <c r="L106" s="220"/>
      <c r="M106" s="220"/>
      <c r="N106" s="282"/>
      <c r="S106" s="92"/>
    </row>
    <row r="107" spans="1:19" x14ac:dyDescent="0.2">
      <c r="B107" s="51" t="s">
        <v>108</v>
      </c>
      <c r="G107" s="223">
        <f>Financials!F54</f>
        <v>855.23028124999996</v>
      </c>
      <c r="S107" s="92"/>
    </row>
    <row r="108" spans="1:19" x14ac:dyDescent="0.2">
      <c r="B108" s="60" t="s">
        <v>109</v>
      </c>
      <c r="C108" s="37"/>
      <c r="D108" s="37"/>
      <c r="E108" s="37"/>
      <c r="F108" s="37"/>
      <c r="G108" s="181">
        <f>Financials!F67</f>
        <v>11473.210885055878</v>
      </c>
      <c r="I108" s="96" t="s">
        <v>274</v>
      </c>
      <c r="J108" s="96"/>
      <c r="K108" s="96"/>
      <c r="L108" s="96"/>
      <c r="M108" s="96"/>
      <c r="N108" s="67"/>
      <c r="S108" s="95"/>
    </row>
    <row r="109" spans="1:19" ht="15.75" customHeight="1" x14ac:dyDescent="0.2">
      <c r="B109" s="6" t="s">
        <v>110</v>
      </c>
      <c r="C109" s="6"/>
      <c r="D109" s="6"/>
      <c r="E109" s="6"/>
      <c r="F109" s="6"/>
      <c r="G109" s="224">
        <f ca="1">G106+G107-G108</f>
        <v>177128.05048947243</v>
      </c>
      <c r="I109" s="67"/>
      <c r="J109" s="67"/>
      <c r="K109" s="67"/>
      <c r="L109" s="67"/>
      <c r="M109" s="67"/>
      <c r="N109" s="67"/>
      <c r="S109" s="92"/>
    </row>
    <row r="110" spans="1:19" ht="15" x14ac:dyDescent="0.25">
      <c r="B110" s="6"/>
      <c r="C110" s="6"/>
      <c r="D110" s="6"/>
      <c r="E110" s="6"/>
      <c r="F110" s="6"/>
      <c r="G110" s="224"/>
      <c r="I110" s="366" t="s">
        <v>90</v>
      </c>
      <c r="J110" s="363" t="s">
        <v>273</v>
      </c>
      <c r="K110" s="363"/>
      <c r="L110" s="363"/>
      <c r="M110" s="363"/>
      <c r="N110" s="229"/>
      <c r="S110" s="92"/>
    </row>
    <row r="111" spans="1:19" ht="13.5" thickBot="1" x14ac:dyDescent="0.25">
      <c r="B111" s="1" t="s">
        <v>272</v>
      </c>
      <c r="G111" s="95">
        <f>L23+L30</f>
        <v>28624.275966416237</v>
      </c>
      <c r="I111" s="366"/>
      <c r="J111" s="279">
        <f ca="1">G106</f>
        <v>187746.03109327832</v>
      </c>
      <c r="K111" s="310">
        <v>1</v>
      </c>
      <c r="L111" s="311">
        <v>2</v>
      </c>
      <c r="M111" s="312">
        <v>3</v>
      </c>
      <c r="N111" s="279"/>
      <c r="S111" s="92"/>
    </row>
    <row r="112" spans="1:19" x14ac:dyDescent="0.2">
      <c r="B112" s="1" t="s">
        <v>143</v>
      </c>
      <c r="G112" s="223">
        <f>Financials!F22</f>
        <v>19481.201249999995</v>
      </c>
      <c r="I112" s="366"/>
      <c r="J112" s="307">
        <v>1</v>
      </c>
      <c r="K112" s="301">
        <f t="dataTable" ref="K112:M114" dt2D="1" dtr="1" r1="E10" r2="E11" ca="1"/>
        <v>178740.42402703516</v>
      </c>
      <c r="L112" s="302">
        <v>181239.47252126306</v>
      </c>
      <c r="M112" s="302">
        <v>183837.31148348958</v>
      </c>
      <c r="N112" s="283">
        <v>8.5172313345640873</v>
      </c>
      <c r="S112" s="95"/>
    </row>
    <row r="113" spans="2:14" x14ac:dyDescent="0.2">
      <c r="I113" s="366"/>
      <c r="J113" s="308">
        <v>2</v>
      </c>
      <c r="K113" s="301">
        <v>184969.31054413615</v>
      </c>
      <c r="L113" s="313">
        <v>187746.03109327832</v>
      </c>
      <c r="M113" s="302">
        <v>190632.51882908554</v>
      </c>
      <c r="N113" s="283">
        <v>9.6372643432131468</v>
      </c>
    </row>
    <row r="114" spans="2:14" x14ac:dyDescent="0.2">
      <c r="I114" s="366"/>
      <c r="J114" s="309">
        <v>3</v>
      </c>
      <c r="K114" s="301">
        <v>191198.19706123718</v>
      </c>
      <c r="L114" s="302">
        <v>194252.58966529355</v>
      </c>
      <c r="M114" s="302">
        <v>197427.72617468151</v>
      </c>
      <c r="N114" s="283">
        <v>10.757297351862205</v>
      </c>
    </row>
    <row r="115" spans="2:14" x14ac:dyDescent="0.2">
      <c r="B115" s="40" t="s">
        <v>141</v>
      </c>
      <c r="C115" s="40"/>
      <c r="D115" s="40"/>
      <c r="E115" s="40"/>
      <c r="F115" s="40"/>
      <c r="G115" s="136">
        <f ca="1">G106/G112</f>
        <v>9.6372923149838297</v>
      </c>
      <c r="I115" s="292"/>
      <c r="J115" s="280"/>
      <c r="K115" s="283">
        <v>10.757297351862205</v>
      </c>
      <c r="L115" s="283">
        <v>10.757297351862205</v>
      </c>
      <c r="M115" s="283">
        <v>10.757297351862205</v>
      </c>
      <c r="N115" s="283">
        <v>10.757297351862205</v>
      </c>
    </row>
    <row r="118" spans="2:14" x14ac:dyDescent="0.2">
      <c r="B118" s="247"/>
      <c r="C118" s="248" t="s">
        <v>209</v>
      </c>
      <c r="D118" s="249"/>
      <c r="E118" s="250"/>
      <c r="F118" s="249">
        <f>MAX(K103:M105)</f>
        <v>10.904842960048388</v>
      </c>
      <c r="G118" s="251"/>
    </row>
    <row r="119" spans="2:14" x14ac:dyDescent="0.2">
      <c r="B119" s="252"/>
      <c r="C119" s="253" t="s">
        <v>213</v>
      </c>
      <c r="D119" s="254"/>
      <c r="E119" s="255"/>
      <c r="F119" s="254">
        <f>QUARTILE(K103:M105,3)</f>
        <v>10.067618361770586</v>
      </c>
      <c r="G119" s="256"/>
    </row>
    <row r="120" spans="2:14" x14ac:dyDescent="0.2">
      <c r="B120" s="257"/>
      <c r="C120" s="258" t="s">
        <v>210</v>
      </c>
      <c r="D120" s="259"/>
      <c r="E120" s="260"/>
      <c r="F120" s="259">
        <f>AVERAGE(K103:M105)</f>
        <v>9.6293445779816373</v>
      </c>
      <c r="G120" s="261"/>
    </row>
    <row r="121" spans="2:14" x14ac:dyDescent="0.2">
      <c r="B121" s="257"/>
      <c r="C121" s="258" t="s">
        <v>211</v>
      </c>
      <c r="D121" s="259"/>
      <c r="E121" s="260"/>
      <c r="F121" s="259">
        <f>MEDIAN(K103:M105)</f>
        <v>9.6228270856276428</v>
      </c>
      <c r="G121" s="261"/>
    </row>
    <row r="122" spans="2:14" x14ac:dyDescent="0.2">
      <c r="B122" s="252"/>
      <c r="C122" s="253" t="s">
        <v>214</v>
      </c>
      <c r="D122" s="254"/>
      <c r="E122" s="255"/>
      <c r="F122" s="254">
        <f>QUARTILE(K103:M105,1)</f>
        <v>9.121079008244978</v>
      </c>
      <c r="G122" s="256"/>
    </row>
    <row r="123" spans="2:14" x14ac:dyDescent="0.2">
      <c r="B123" s="262"/>
      <c r="C123" s="263" t="s">
        <v>212</v>
      </c>
      <c r="D123" s="264"/>
      <c r="E123" s="265"/>
      <c r="F123" s="264">
        <f>MIN(K103:M105)</f>
        <v>8.4368729665705864</v>
      </c>
      <c r="G123" s="266"/>
    </row>
  </sheetData>
  <mergeCells count="10">
    <mergeCell ref="J110:M110"/>
    <mergeCell ref="O75:O79"/>
    <mergeCell ref="P75:S75"/>
    <mergeCell ref="J75:M75"/>
    <mergeCell ref="I75:I79"/>
    <mergeCell ref="I101:I105"/>
    <mergeCell ref="J101:M101"/>
    <mergeCell ref="I84:I88"/>
    <mergeCell ref="J84:M84"/>
    <mergeCell ref="I110:I114"/>
  </mergeCells>
  <dataValidations disablePrompts="1" count="2">
    <dataValidation type="list" allowBlank="1" showInputMessage="1" showErrorMessage="1" sqref="E10:E13" xr:uid="{64397B83-B999-4C11-8BCA-79C8BF2EBD3B}">
      <formula1>"1, 2, 3"</formula1>
    </dataValidation>
    <dataValidation type="list" allowBlank="1" showInputMessage="1" showErrorMessage="1" sqref="G101" xr:uid="{87117F76-A555-4EF4-9B00-94E4B46B9FA9}">
      <formula1>"7,8,9"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50966-99AA-43FD-A16D-DC2A841AF814}">
  <sheetPr>
    <tabColor rgb="FF00B0F0"/>
  </sheetPr>
  <dimension ref="A2:P165"/>
  <sheetViews>
    <sheetView showGridLines="0" workbookViewId="0">
      <selection activeCell="R30" sqref="R30"/>
    </sheetView>
  </sheetViews>
  <sheetFormatPr defaultColWidth="8.25" defaultRowHeight="12.75" x14ac:dyDescent="0.2"/>
  <cols>
    <col min="1" max="1" width="3.5" style="79" customWidth="1"/>
    <col min="2" max="16384" width="8.25" style="1"/>
  </cols>
  <sheetData>
    <row r="2" spans="1:16" ht="18" x14ac:dyDescent="0.25">
      <c r="B2" s="77" t="s">
        <v>181</v>
      </c>
    </row>
    <row r="3" spans="1:16" s="76" customFormat="1" ht="9.9499999999999993" customHeight="1" x14ac:dyDescent="0.2">
      <c r="A3" s="142"/>
    </row>
    <row r="4" spans="1:16" x14ac:dyDescent="0.2">
      <c r="B4" s="25" t="s">
        <v>180</v>
      </c>
    </row>
    <row r="6" spans="1:16" x14ac:dyDescent="0.2">
      <c r="A6" s="79" t="s">
        <v>87</v>
      </c>
      <c r="B6" s="96" t="s">
        <v>35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ht="5.0999999999999996" customHeight="1" x14ac:dyDescent="0.2"/>
    <row r="8" spans="1:16" x14ac:dyDescent="0.2">
      <c r="B8" s="17" t="s">
        <v>145</v>
      </c>
      <c r="C8" s="43"/>
      <c r="D8" s="43"/>
      <c r="E8" s="43"/>
      <c r="G8" s="17" t="s">
        <v>146</v>
      </c>
      <c r="H8" s="43"/>
      <c r="I8" s="43"/>
      <c r="J8" s="43"/>
      <c r="L8" s="17" t="s">
        <v>147</v>
      </c>
      <c r="M8" s="43"/>
      <c r="N8" s="43"/>
      <c r="O8" s="158" t="s">
        <v>71</v>
      </c>
      <c r="P8" s="158" t="s">
        <v>42</v>
      </c>
    </row>
    <row r="9" spans="1:16" x14ac:dyDescent="0.2">
      <c r="B9" s="45" t="s">
        <v>148</v>
      </c>
      <c r="G9" s="1" t="s">
        <v>149</v>
      </c>
      <c r="J9" s="92">
        <f>K57</f>
        <v>19481.201249999991</v>
      </c>
      <c r="L9" s="1" t="s">
        <v>68</v>
      </c>
      <c r="O9" s="92">
        <f>E25</f>
        <v>48703.003124999974</v>
      </c>
      <c r="P9" s="144">
        <v>6.5000000000000002E-2</v>
      </c>
    </row>
    <row r="10" spans="1:16" x14ac:dyDescent="0.2">
      <c r="B10" s="1" t="s">
        <v>3</v>
      </c>
      <c r="E10" s="163">
        <f>Financials!F8</f>
        <v>139151.4375</v>
      </c>
      <c r="G10" s="37" t="s">
        <v>150</v>
      </c>
      <c r="H10" s="37"/>
      <c r="I10" s="37"/>
      <c r="J10" s="178">
        <f>J18</f>
        <v>8</v>
      </c>
      <c r="L10" s="1" t="s">
        <v>69</v>
      </c>
      <c r="O10" s="92">
        <f>E26</f>
        <v>29221.801874999986</v>
      </c>
      <c r="P10" s="144">
        <v>0.12</v>
      </c>
    </row>
    <row r="11" spans="1:16" x14ac:dyDescent="0.2">
      <c r="B11" s="1" t="s">
        <v>10</v>
      </c>
      <c r="E11" s="163">
        <f>-Financials!F9</f>
        <v>94622.977500000008</v>
      </c>
      <c r="G11" s="6" t="s">
        <v>107</v>
      </c>
      <c r="H11" s="6"/>
      <c r="I11" s="6"/>
      <c r="J11" s="138">
        <f>J9*J10</f>
        <v>155849.60999999993</v>
      </c>
      <c r="L11" s="43"/>
      <c r="M11" s="43"/>
      <c r="N11" s="43"/>
      <c r="O11" s="158" t="s">
        <v>71</v>
      </c>
      <c r="P11" s="158" t="s">
        <v>186</v>
      </c>
    </row>
    <row r="12" spans="1:16" x14ac:dyDescent="0.2">
      <c r="B12" s="1" t="s">
        <v>151</v>
      </c>
      <c r="E12" s="164">
        <f>-Financials!F12-Financials!F13</f>
        <v>25902.489031249999</v>
      </c>
      <c r="G12" s="37" t="s">
        <v>152</v>
      </c>
      <c r="H12" s="37"/>
      <c r="I12" s="37"/>
      <c r="J12" s="168">
        <f>Financials!F40</f>
        <v>27683.117953879057</v>
      </c>
      <c r="L12" s="1" t="s">
        <v>167</v>
      </c>
      <c r="P12" s="144">
        <v>0.75</v>
      </c>
    </row>
    <row r="13" spans="1:16" x14ac:dyDescent="0.2">
      <c r="B13" s="1" t="s">
        <v>66</v>
      </c>
      <c r="E13" s="163">
        <f>-Financials!F13</f>
        <v>855.23028124999996</v>
      </c>
      <c r="G13" s="6" t="s">
        <v>110</v>
      </c>
      <c r="H13" s="6"/>
      <c r="I13" s="6"/>
      <c r="J13" s="138">
        <f>J11-J12</f>
        <v>128166.49204612087</v>
      </c>
      <c r="L13" s="1" t="s">
        <v>185</v>
      </c>
      <c r="P13" s="144">
        <v>0.25</v>
      </c>
    </row>
    <row r="14" spans="1:16" x14ac:dyDescent="0.2">
      <c r="B14" s="1" t="s">
        <v>153</v>
      </c>
      <c r="E14" s="164">
        <f>SUM(Financials!E28:E30)-SUM(Financials!E35:E37)</f>
        <v>16964.375250000005</v>
      </c>
    </row>
    <row r="15" spans="1:16" x14ac:dyDescent="0.2">
      <c r="B15" s="1" t="s">
        <v>98</v>
      </c>
      <c r="E15" s="163">
        <f>-Financials!F64</f>
        <v>2087.2715625000001</v>
      </c>
      <c r="G15" s="1" t="s">
        <v>155</v>
      </c>
      <c r="J15" s="143">
        <v>3000</v>
      </c>
    </row>
    <row r="17" spans="1:16" x14ac:dyDescent="0.2">
      <c r="B17" s="45" t="s">
        <v>157</v>
      </c>
      <c r="G17" s="17" t="s">
        <v>158</v>
      </c>
      <c r="H17" s="43"/>
      <c r="I17" s="43"/>
      <c r="J17" s="43"/>
      <c r="L17" s="159" t="s">
        <v>222</v>
      </c>
      <c r="M17" s="160"/>
      <c r="N17" s="160"/>
      <c r="O17" s="161"/>
      <c r="P17" s="162"/>
    </row>
    <row r="18" spans="1:16" x14ac:dyDescent="0.2">
      <c r="B18" s="1" t="s">
        <v>59</v>
      </c>
      <c r="E18" s="144">
        <v>0.08</v>
      </c>
      <c r="G18" s="1" t="s">
        <v>159</v>
      </c>
      <c r="J18" s="165">
        <v>8</v>
      </c>
      <c r="L18" s="145" t="s">
        <v>154</v>
      </c>
      <c r="M18" s="26"/>
      <c r="N18" s="26"/>
      <c r="O18" s="26"/>
      <c r="P18" s="146">
        <f>G125</f>
        <v>2.685956270161888</v>
      </c>
    </row>
    <row r="19" spans="1:16" x14ac:dyDescent="0.2">
      <c r="B19" s="1" t="s">
        <v>36</v>
      </c>
      <c r="E19" s="144">
        <v>0.21</v>
      </c>
      <c r="G19" s="1" t="s">
        <v>193</v>
      </c>
      <c r="J19" s="144">
        <v>0.2</v>
      </c>
      <c r="L19" s="147" t="s">
        <v>156</v>
      </c>
      <c r="M19" s="27"/>
      <c r="N19" s="27"/>
      <c r="O19" s="27"/>
      <c r="P19" s="148">
        <f>I125</f>
        <v>0.21848387859577589</v>
      </c>
    </row>
    <row r="21" spans="1:16" x14ac:dyDescent="0.2">
      <c r="A21" s="79" t="s">
        <v>87</v>
      </c>
      <c r="B21" s="96" t="s">
        <v>160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spans="1:16" ht="5.0999999999999996" customHeight="1" x14ac:dyDescent="0.2"/>
    <row r="23" spans="1:16" x14ac:dyDescent="0.2">
      <c r="B23" s="17" t="s">
        <v>161</v>
      </c>
      <c r="C23" s="43"/>
      <c r="D23" s="43"/>
      <c r="E23" s="43"/>
      <c r="F23" s="43"/>
      <c r="G23" s="43"/>
      <c r="K23" s="17" t="s">
        <v>162</v>
      </c>
      <c r="L23" s="43"/>
      <c r="M23" s="43"/>
      <c r="N23" s="43"/>
      <c r="O23" s="43"/>
      <c r="P23" s="43"/>
    </row>
    <row r="24" spans="1:16" x14ac:dyDescent="0.2">
      <c r="E24" s="149" t="s">
        <v>71</v>
      </c>
      <c r="F24" s="149" t="s">
        <v>163</v>
      </c>
      <c r="G24" s="149" t="s">
        <v>164</v>
      </c>
      <c r="N24" s="149" t="s">
        <v>71</v>
      </c>
      <c r="O24" s="149" t="s">
        <v>163</v>
      </c>
      <c r="P24" s="149" t="s">
        <v>164</v>
      </c>
    </row>
    <row r="25" spans="1:16" x14ac:dyDescent="0.2">
      <c r="B25" s="1" t="s">
        <v>68</v>
      </c>
      <c r="E25" s="92">
        <f>F25*$J$9</f>
        <v>48703.003124999974</v>
      </c>
      <c r="F25" s="165">
        <v>2.5</v>
      </c>
      <c r="G25" s="11">
        <f>E25/$E$33</f>
        <v>0.30659819136477573</v>
      </c>
      <c r="K25" s="1" t="s">
        <v>165</v>
      </c>
      <c r="N25" s="92">
        <f>J12</f>
        <v>27683.117953879057</v>
      </c>
      <c r="O25" s="150">
        <f>N25/$J$9</f>
        <v>1.4210169895903657</v>
      </c>
      <c r="P25" s="11">
        <f>N25/$N$33</f>
        <v>0.17427249556280983</v>
      </c>
    </row>
    <row r="26" spans="1:16" x14ac:dyDescent="0.2">
      <c r="B26" s="37" t="s">
        <v>69</v>
      </c>
      <c r="C26" s="37"/>
      <c r="D26" s="37"/>
      <c r="E26" s="166">
        <f t="shared" ref="E26" si="0">F26*$J$9</f>
        <v>29221.801874999986</v>
      </c>
      <c r="F26" s="165">
        <v>1.5</v>
      </c>
      <c r="G26" s="167">
        <f>E26/$E$33</f>
        <v>0.18395891481886548</v>
      </c>
      <c r="K26" s="1" t="s">
        <v>166</v>
      </c>
      <c r="N26" s="92">
        <f>J13</f>
        <v>128166.49204612087</v>
      </c>
      <c r="O26" s="150">
        <f>N26/$J$9</f>
        <v>6.5789830104096341</v>
      </c>
      <c r="P26" s="11">
        <f>N26/$N$33</f>
        <v>0.8068417168044727</v>
      </c>
    </row>
    <row r="27" spans="1:16" x14ac:dyDescent="0.2">
      <c r="B27" s="6" t="s">
        <v>137</v>
      </c>
      <c r="C27" s="6"/>
      <c r="E27" s="138">
        <f>SUM(E25:E26)</f>
        <v>77924.804999999964</v>
      </c>
      <c r="F27" s="151">
        <f>SUM(F25:F26)</f>
        <v>4</v>
      </c>
      <c r="G27" s="152">
        <f>SUM(G25:G26)</f>
        <v>0.49055710618364123</v>
      </c>
      <c r="N27" s="92"/>
    </row>
    <row r="28" spans="1:16" x14ac:dyDescent="0.2">
      <c r="K28" s="1" t="s">
        <v>155</v>
      </c>
      <c r="N28" s="92">
        <f>J15</f>
        <v>3000</v>
      </c>
      <c r="O28" s="150">
        <f>N28/$J$9</f>
        <v>0.15399461057361652</v>
      </c>
      <c r="P28" s="11">
        <f>N28/$N$33</f>
        <v>1.8885787632717522E-2</v>
      </c>
    </row>
    <row r="29" spans="1:16" x14ac:dyDescent="0.2">
      <c r="B29" s="1" t="s">
        <v>167</v>
      </c>
      <c r="E29" s="92">
        <f>$E$31*P12</f>
        <v>60693.603749999973</v>
      </c>
      <c r="F29" s="150">
        <f t="shared" ref="F29:F30" si="1">E29/$J$9</f>
        <v>3.1154959579302126</v>
      </c>
      <c r="G29" s="179">
        <f t="shared" ref="G29:G30" si="2">E29/$E$33</f>
        <v>0.38208217036226905</v>
      </c>
    </row>
    <row r="30" spans="1:16" x14ac:dyDescent="0.2">
      <c r="B30" s="37" t="s">
        <v>185</v>
      </c>
      <c r="C30" s="37"/>
      <c r="D30" s="37"/>
      <c r="E30" s="166">
        <f>$E$31*P13</f>
        <v>20231.201249999991</v>
      </c>
      <c r="F30" s="178">
        <f t="shared" si="1"/>
        <v>1.0384986526434041</v>
      </c>
      <c r="G30" s="167">
        <f t="shared" si="2"/>
        <v>0.12736072345408969</v>
      </c>
    </row>
    <row r="31" spans="1:16" x14ac:dyDescent="0.2">
      <c r="B31" s="6" t="s">
        <v>137</v>
      </c>
      <c r="C31" s="6"/>
      <c r="E31" s="138">
        <f>E33-E27</f>
        <v>80924.804999999964</v>
      </c>
      <c r="F31" s="151">
        <f>E31/$J$9</f>
        <v>4.1539946105736165</v>
      </c>
      <c r="G31" s="152">
        <f>E31/$E$33</f>
        <v>0.50944289381635877</v>
      </c>
    </row>
    <row r="32" spans="1:16" x14ac:dyDescent="0.2">
      <c r="G32" s="11"/>
    </row>
    <row r="33" spans="1:16" x14ac:dyDescent="0.2">
      <c r="B33" s="21" t="s">
        <v>168</v>
      </c>
      <c r="C33" s="21"/>
      <c r="D33" s="21"/>
      <c r="E33" s="153">
        <f>N33</f>
        <v>158849.60999999993</v>
      </c>
      <c r="F33" s="154">
        <f t="shared" ref="F33" si="3">E33/$J$9</f>
        <v>8.1539946105736174</v>
      </c>
      <c r="G33" s="324">
        <f>E33/$E$33</f>
        <v>1</v>
      </c>
      <c r="K33" s="21" t="s">
        <v>169</v>
      </c>
      <c r="L33" s="21"/>
      <c r="M33" s="21"/>
      <c r="N33" s="153">
        <f>N25+N26+N28</f>
        <v>158849.60999999993</v>
      </c>
      <c r="O33" s="154">
        <f>O25+O26+O28</f>
        <v>8.1539946105736156</v>
      </c>
      <c r="P33" s="324">
        <f>P25+P26+P28</f>
        <v>1</v>
      </c>
    </row>
    <row r="36" spans="1:16" x14ac:dyDescent="0.2">
      <c r="A36" s="79" t="s">
        <v>87</v>
      </c>
      <c r="B36" s="96" t="s">
        <v>145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spans="1:16" ht="5.0999999999999996" customHeight="1" x14ac:dyDescent="0.2"/>
    <row r="38" spans="1:16" x14ac:dyDescent="0.2">
      <c r="B38" s="17" t="s">
        <v>170</v>
      </c>
      <c r="C38" s="43"/>
      <c r="D38" s="43"/>
      <c r="E38" s="43"/>
      <c r="F38" s="43"/>
      <c r="G38" s="43"/>
      <c r="H38" s="43"/>
      <c r="I38" s="43"/>
      <c r="J38" s="43"/>
      <c r="K38" s="332">
        <v>2023</v>
      </c>
      <c r="L38" s="109">
        <f t="shared" ref="L38:P38" si="4">K38+1</f>
        <v>2024</v>
      </c>
      <c r="M38" s="109">
        <f t="shared" si="4"/>
        <v>2025</v>
      </c>
      <c r="N38" s="109">
        <f t="shared" si="4"/>
        <v>2026</v>
      </c>
      <c r="O38" s="109">
        <f t="shared" si="4"/>
        <v>2027</v>
      </c>
      <c r="P38" s="109">
        <f t="shared" si="4"/>
        <v>2028</v>
      </c>
    </row>
    <row r="39" spans="1:16" x14ac:dyDescent="0.2">
      <c r="B39" s="1" t="s">
        <v>3</v>
      </c>
      <c r="K39" s="169">
        <f>E10</f>
        <v>139151.4375</v>
      </c>
      <c r="L39" s="92">
        <f>K39*(1+L40)</f>
        <v>150283.55250000002</v>
      </c>
      <c r="M39" s="92">
        <f t="shared" ref="M39:P39" si="5">L39*(1+M40)</f>
        <v>162306.23670000004</v>
      </c>
      <c r="N39" s="92">
        <f t="shared" si="5"/>
        <v>175290.73563600006</v>
      </c>
      <c r="O39" s="92">
        <f t="shared" si="5"/>
        <v>189313.99448688008</v>
      </c>
      <c r="P39" s="92">
        <f t="shared" si="5"/>
        <v>204459.1140458305</v>
      </c>
    </row>
    <row r="40" spans="1:16" x14ac:dyDescent="0.2">
      <c r="B40" s="25" t="s">
        <v>171</v>
      </c>
      <c r="K40" s="170"/>
      <c r="L40" s="156">
        <f>$E$18</f>
        <v>0.08</v>
      </c>
      <c r="M40" s="156">
        <f>L40</f>
        <v>0.08</v>
      </c>
      <c r="N40" s="156">
        <f t="shared" ref="N40:P40" si="6">M40</f>
        <v>0.08</v>
      </c>
      <c r="O40" s="156">
        <f t="shared" si="6"/>
        <v>0.08</v>
      </c>
      <c r="P40" s="156">
        <f t="shared" si="6"/>
        <v>0.08</v>
      </c>
    </row>
    <row r="41" spans="1:16" x14ac:dyDescent="0.2">
      <c r="K41" s="171"/>
    </row>
    <row r="42" spans="1:16" x14ac:dyDescent="0.2">
      <c r="B42" s="1" t="s">
        <v>10</v>
      </c>
      <c r="K42" s="169">
        <f>E11</f>
        <v>94622.977500000008</v>
      </c>
      <c r="L42" s="92">
        <f>L43*L39</f>
        <v>102192.81570000002</v>
      </c>
      <c r="M42" s="92">
        <f t="shared" ref="M42:P42" si="7">M43*M39</f>
        <v>110368.24095600004</v>
      </c>
      <c r="N42" s="92">
        <f t="shared" si="7"/>
        <v>119197.70023248004</v>
      </c>
      <c r="O42" s="92">
        <f t="shared" si="7"/>
        <v>128733.51625107846</v>
      </c>
      <c r="P42" s="92">
        <f t="shared" si="7"/>
        <v>139032.19755116475</v>
      </c>
    </row>
    <row r="43" spans="1:16" x14ac:dyDescent="0.2">
      <c r="B43" s="25" t="s">
        <v>172</v>
      </c>
      <c r="K43" s="172">
        <f>K42/K39</f>
        <v>0.68</v>
      </c>
      <c r="L43" s="156">
        <f>K43</f>
        <v>0.68</v>
      </c>
      <c r="M43" s="156">
        <f t="shared" ref="M43:P43" si="8">L43</f>
        <v>0.68</v>
      </c>
      <c r="N43" s="156">
        <f t="shared" si="8"/>
        <v>0.68</v>
      </c>
      <c r="O43" s="156">
        <f t="shared" si="8"/>
        <v>0.68</v>
      </c>
      <c r="P43" s="156">
        <f t="shared" si="8"/>
        <v>0.68</v>
      </c>
    </row>
    <row r="44" spans="1:16" x14ac:dyDescent="0.2">
      <c r="K44" s="171"/>
    </row>
    <row r="45" spans="1:16" x14ac:dyDescent="0.2">
      <c r="B45" s="1" t="s">
        <v>12</v>
      </c>
      <c r="K45" s="169">
        <f>K39-K42</f>
        <v>44528.459999999992</v>
      </c>
      <c r="L45" s="92">
        <f t="shared" ref="L45:P45" si="9">L39-L42</f>
        <v>48090.736799999999</v>
      </c>
      <c r="M45" s="92">
        <f t="shared" si="9"/>
        <v>51937.995744</v>
      </c>
      <c r="N45" s="92">
        <f t="shared" si="9"/>
        <v>56093.035403520014</v>
      </c>
      <c r="O45" s="92">
        <f t="shared" si="9"/>
        <v>60580.478235801624</v>
      </c>
      <c r="P45" s="92">
        <f t="shared" si="9"/>
        <v>65426.916494665755</v>
      </c>
    </row>
    <row r="46" spans="1:16" x14ac:dyDescent="0.2">
      <c r="B46" s="25" t="s">
        <v>172</v>
      </c>
      <c r="K46" s="172">
        <f>K45/K39</f>
        <v>0.31999999999999995</v>
      </c>
      <c r="L46" s="156">
        <f t="shared" ref="L46:P46" si="10">L45/L39</f>
        <v>0.31999999999999995</v>
      </c>
      <c r="M46" s="156">
        <f t="shared" si="10"/>
        <v>0.31999999999999995</v>
      </c>
      <c r="N46" s="156">
        <f t="shared" si="10"/>
        <v>0.32</v>
      </c>
      <c r="O46" s="156">
        <f t="shared" si="10"/>
        <v>0.32</v>
      </c>
      <c r="P46" s="156">
        <f t="shared" si="10"/>
        <v>0.31999999999999995</v>
      </c>
    </row>
    <row r="47" spans="1:16" x14ac:dyDescent="0.2">
      <c r="K47" s="171"/>
    </row>
    <row r="48" spans="1:16" x14ac:dyDescent="0.2">
      <c r="B48" s="1" t="s">
        <v>151</v>
      </c>
      <c r="K48" s="169">
        <f>E12</f>
        <v>25902.489031249999</v>
      </c>
      <c r="L48" s="92">
        <f>L49*L39</f>
        <v>27974.688153750005</v>
      </c>
      <c r="M48" s="92">
        <f t="shared" ref="M48:P48" si="11">M49*M39</f>
        <v>30212.663206050005</v>
      </c>
      <c r="N48" s="92">
        <f t="shared" si="11"/>
        <v>32629.676262534009</v>
      </c>
      <c r="O48" s="92">
        <f t="shared" si="11"/>
        <v>35240.050363536735</v>
      </c>
      <c r="P48" s="92">
        <f t="shared" si="11"/>
        <v>38059.254392619674</v>
      </c>
    </row>
    <row r="49" spans="2:16" x14ac:dyDescent="0.2">
      <c r="B49" s="25" t="s">
        <v>172</v>
      </c>
      <c r="K49" s="172">
        <f>K48/K39</f>
        <v>0.18614603985855338</v>
      </c>
      <c r="L49" s="156">
        <f>K49</f>
        <v>0.18614603985855338</v>
      </c>
      <c r="M49" s="156">
        <f t="shared" ref="M49:P49" si="12">L49</f>
        <v>0.18614603985855338</v>
      </c>
      <c r="N49" s="156">
        <f t="shared" si="12"/>
        <v>0.18614603985855338</v>
      </c>
      <c r="O49" s="156">
        <f t="shared" si="12"/>
        <v>0.18614603985855338</v>
      </c>
      <c r="P49" s="156">
        <f t="shared" si="12"/>
        <v>0.18614603985855338</v>
      </c>
    </row>
    <row r="50" spans="2:16" x14ac:dyDescent="0.2">
      <c r="K50" s="171"/>
    </row>
    <row r="51" spans="2:16" x14ac:dyDescent="0.2">
      <c r="B51" s="1" t="s">
        <v>90</v>
      </c>
      <c r="K51" s="169">
        <f>K45-K48</f>
        <v>18625.970968749993</v>
      </c>
      <c r="L51" s="92">
        <f t="shared" ref="L51:P51" si="13">L45-L48</f>
        <v>20116.048646249994</v>
      </c>
      <c r="M51" s="92">
        <f t="shared" si="13"/>
        <v>21725.332537949995</v>
      </c>
      <c r="N51" s="92">
        <f t="shared" si="13"/>
        <v>23463.359140986006</v>
      </c>
      <c r="O51" s="92">
        <f t="shared" si="13"/>
        <v>25340.427872264889</v>
      </c>
      <c r="P51" s="92">
        <f t="shared" si="13"/>
        <v>27367.662102046081</v>
      </c>
    </row>
    <row r="52" spans="2:16" x14ac:dyDescent="0.2">
      <c r="B52" s="25" t="s">
        <v>172</v>
      </c>
      <c r="K52" s="172">
        <f>K51/K39</f>
        <v>0.13385396014144657</v>
      </c>
      <c r="L52" s="156">
        <f t="shared" ref="L52:P52" si="14">L51/L39</f>
        <v>0.13385396014144657</v>
      </c>
      <c r="M52" s="156">
        <f t="shared" si="14"/>
        <v>0.13385396014144654</v>
      </c>
      <c r="N52" s="156">
        <f t="shared" si="14"/>
        <v>0.1338539601414466</v>
      </c>
      <c r="O52" s="156">
        <f t="shared" si="14"/>
        <v>0.1338539601414466</v>
      </c>
      <c r="P52" s="156">
        <f t="shared" si="14"/>
        <v>0.1338539601414466</v>
      </c>
    </row>
    <row r="53" spans="2:16" x14ac:dyDescent="0.2">
      <c r="K53" s="171"/>
    </row>
    <row r="54" spans="2:16" x14ac:dyDescent="0.2">
      <c r="B54" s="1" t="s">
        <v>66</v>
      </c>
      <c r="K54" s="169">
        <f>E13</f>
        <v>855.23028124999996</v>
      </c>
      <c r="L54" s="92">
        <f>L55*L$39</f>
        <v>923.6487037500001</v>
      </c>
      <c r="M54" s="92">
        <f t="shared" ref="M54:P54" si="15">M55*M$39</f>
        <v>997.54060005000019</v>
      </c>
      <c r="N54" s="92">
        <f t="shared" si="15"/>
        <v>1077.3438480540003</v>
      </c>
      <c r="O54" s="92">
        <f t="shared" si="15"/>
        <v>1163.5313558983205</v>
      </c>
      <c r="P54" s="92">
        <f t="shared" si="15"/>
        <v>1256.6138643701863</v>
      </c>
    </row>
    <row r="55" spans="2:16" x14ac:dyDescent="0.2">
      <c r="B55" s="25" t="s">
        <v>172</v>
      </c>
      <c r="K55" s="172">
        <f>K54/K39</f>
        <v>6.1460398585533836E-3</v>
      </c>
      <c r="L55" s="156">
        <f>K55</f>
        <v>6.1460398585533836E-3</v>
      </c>
      <c r="M55" s="156">
        <f t="shared" ref="M55:P55" si="16">L55</f>
        <v>6.1460398585533836E-3</v>
      </c>
      <c r="N55" s="156">
        <f t="shared" si="16"/>
        <v>6.1460398585533836E-3</v>
      </c>
      <c r="O55" s="156">
        <f t="shared" si="16"/>
        <v>6.1460398585533836E-3</v>
      </c>
      <c r="P55" s="156">
        <f t="shared" si="16"/>
        <v>6.1460398585533836E-3</v>
      </c>
    </row>
    <row r="56" spans="2:16" x14ac:dyDescent="0.2">
      <c r="K56" s="171"/>
    </row>
    <row r="57" spans="2:16" x14ac:dyDescent="0.2">
      <c r="B57" s="1" t="s">
        <v>63</v>
      </c>
      <c r="K57" s="169">
        <f>K51+K54</f>
        <v>19481.201249999991</v>
      </c>
      <c r="L57" s="92">
        <f t="shared" ref="L57:P57" si="17">L51+L54</f>
        <v>21039.697349999995</v>
      </c>
      <c r="M57" s="92">
        <f t="shared" si="17"/>
        <v>22722.873137999995</v>
      </c>
      <c r="N57" s="92">
        <f t="shared" si="17"/>
        <v>24540.702989040004</v>
      </c>
      <c r="O57" s="92">
        <f t="shared" si="17"/>
        <v>26503.95922816321</v>
      </c>
      <c r="P57" s="92">
        <f t="shared" si="17"/>
        <v>28624.275966416266</v>
      </c>
    </row>
    <row r="58" spans="2:16" x14ac:dyDescent="0.2">
      <c r="B58" s="25" t="s">
        <v>172</v>
      </c>
      <c r="K58" s="172">
        <f>K57/K$39</f>
        <v>0.13999999999999993</v>
      </c>
      <c r="L58" s="156">
        <f t="shared" ref="L58:P58" si="18">L57/L$39</f>
        <v>0.13999999999999996</v>
      </c>
      <c r="M58" s="156">
        <f t="shared" si="18"/>
        <v>0.13999999999999993</v>
      </c>
      <c r="N58" s="156">
        <f t="shared" si="18"/>
        <v>0.13999999999999999</v>
      </c>
      <c r="O58" s="156">
        <f t="shared" si="18"/>
        <v>0.13999999999999999</v>
      </c>
      <c r="P58" s="156">
        <f t="shared" si="18"/>
        <v>0.13999999999999999</v>
      </c>
    </row>
    <row r="59" spans="2:16" x14ac:dyDescent="0.2">
      <c r="K59" s="171"/>
    </row>
    <row r="60" spans="2:16" x14ac:dyDescent="0.2">
      <c r="B60" s="1" t="s">
        <v>42</v>
      </c>
      <c r="K60" s="171"/>
      <c r="L60" s="135">
        <f>L106</f>
        <v>6672.3114281249964</v>
      </c>
      <c r="M60" s="135">
        <f t="shared" ref="M60:P60" si="19">M106</f>
        <v>6156.6795712180283</v>
      </c>
      <c r="N60" s="135">
        <f t="shared" si="19"/>
        <v>5545.9096145595922</v>
      </c>
      <c r="O60" s="135">
        <f t="shared" si="19"/>
        <v>4829.6233844155067</v>
      </c>
      <c r="P60" s="135">
        <f t="shared" si="19"/>
        <v>3996.4703612453832</v>
      </c>
    </row>
    <row r="61" spans="2:16" x14ac:dyDescent="0.2">
      <c r="K61" s="171"/>
    </row>
    <row r="62" spans="2:16" x14ac:dyDescent="0.2">
      <c r="B62" s="1" t="s">
        <v>173</v>
      </c>
      <c r="K62" s="171"/>
      <c r="L62" s="92">
        <f>L51-L60</f>
        <v>13443.737218124998</v>
      </c>
      <c r="M62" s="92">
        <f t="shared" ref="M62:P62" si="20">M51-M60</f>
        <v>15568.652966731966</v>
      </c>
      <c r="N62" s="92">
        <f t="shared" si="20"/>
        <v>17917.449526426411</v>
      </c>
      <c r="O62" s="92">
        <f t="shared" si="20"/>
        <v>20510.804487849382</v>
      </c>
      <c r="P62" s="92">
        <f t="shared" si="20"/>
        <v>23371.191740800699</v>
      </c>
    </row>
    <row r="63" spans="2:16" x14ac:dyDescent="0.2">
      <c r="B63" s="25" t="s">
        <v>172</v>
      </c>
      <c r="K63" s="171"/>
      <c r="L63" s="156">
        <f>L62/L$39</f>
        <v>8.945581199329844E-2</v>
      </c>
      <c r="M63" s="156">
        <f t="shared" ref="M63:P63" si="21">M62/M$39</f>
        <v>9.5921470938349726E-2</v>
      </c>
      <c r="N63" s="156">
        <f t="shared" si="21"/>
        <v>0.10221561031971985</v>
      </c>
      <c r="O63" s="156">
        <f t="shared" si="21"/>
        <v>0.1083427801702786</v>
      </c>
      <c r="P63" s="156">
        <f t="shared" si="21"/>
        <v>0.11430740982063502</v>
      </c>
    </row>
    <row r="64" spans="2:16" x14ac:dyDescent="0.2">
      <c r="K64" s="171"/>
    </row>
    <row r="65" spans="1:16" x14ac:dyDescent="0.2">
      <c r="B65" s="1" t="s">
        <v>17</v>
      </c>
      <c r="K65" s="171"/>
      <c r="L65" s="92">
        <f>L62*L66</f>
        <v>2823.1848158062494</v>
      </c>
      <c r="M65" s="92">
        <f t="shared" ref="M65:P65" si="22">M62*M66</f>
        <v>3269.4171230137126</v>
      </c>
      <c r="N65" s="92">
        <f t="shared" si="22"/>
        <v>3762.6644005495464</v>
      </c>
      <c r="O65" s="92">
        <f t="shared" si="22"/>
        <v>4307.2689424483697</v>
      </c>
      <c r="P65" s="92">
        <f t="shared" si="22"/>
        <v>4907.9502655681463</v>
      </c>
    </row>
    <row r="66" spans="1:16" x14ac:dyDescent="0.2">
      <c r="B66" s="25" t="s">
        <v>174</v>
      </c>
      <c r="K66" s="171"/>
      <c r="L66" s="156">
        <f>E19</f>
        <v>0.21</v>
      </c>
      <c r="M66" s="156">
        <f>L66</f>
        <v>0.21</v>
      </c>
      <c r="N66" s="156">
        <f t="shared" ref="N66:P66" si="23">M66</f>
        <v>0.21</v>
      </c>
      <c r="O66" s="156">
        <f t="shared" si="23"/>
        <v>0.21</v>
      </c>
      <c r="P66" s="156">
        <f t="shared" si="23"/>
        <v>0.21</v>
      </c>
    </row>
    <row r="67" spans="1:16" x14ac:dyDescent="0.2">
      <c r="K67" s="171"/>
    </row>
    <row r="68" spans="1:16" x14ac:dyDescent="0.2">
      <c r="B68" s="1" t="s">
        <v>18</v>
      </c>
      <c r="K68" s="171"/>
      <c r="L68" s="95">
        <f>L62-L65</f>
        <v>10620.552402318748</v>
      </c>
      <c r="M68" s="95">
        <f t="shared" ref="M68:P68" si="24">M62-M65</f>
        <v>12299.235843718254</v>
      </c>
      <c r="N68" s="95">
        <f t="shared" si="24"/>
        <v>14154.785125876864</v>
      </c>
      <c r="O68" s="95">
        <f t="shared" si="24"/>
        <v>16203.535545401013</v>
      </c>
      <c r="P68" s="95">
        <f t="shared" si="24"/>
        <v>18463.241475232553</v>
      </c>
    </row>
    <row r="69" spans="1:16" x14ac:dyDescent="0.2">
      <c r="B69" s="25" t="s">
        <v>172</v>
      </c>
      <c r="K69" s="171"/>
      <c r="L69" s="156">
        <f>L68/L$39</f>
        <v>7.0670091474705765E-2</v>
      </c>
      <c r="M69" s="156">
        <f t="shared" ref="M69:P69" si="25">M68/M$39</f>
        <v>7.577796204129629E-2</v>
      </c>
      <c r="N69" s="156">
        <f t="shared" si="25"/>
        <v>8.075033215257868E-2</v>
      </c>
      <c r="O69" s="156">
        <f t="shared" si="25"/>
        <v>8.5590796334520089E-2</v>
      </c>
      <c r="P69" s="156">
        <f t="shared" si="25"/>
        <v>9.030285375830166E-2</v>
      </c>
    </row>
    <row r="70" spans="1:16" x14ac:dyDescent="0.2">
      <c r="K70" s="171"/>
    </row>
    <row r="71" spans="1:16" x14ac:dyDescent="0.2">
      <c r="A71" s="79" t="s">
        <v>87</v>
      </c>
      <c r="B71" s="17" t="s">
        <v>112</v>
      </c>
      <c r="C71" s="43"/>
      <c r="D71" s="43"/>
      <c r="E71" s="43"/>
      <c r="F71" s="43"/>
      <c r="G71" s="43"/>
      <c r="H71" s="43"/>
      <c r="I71" s="43"/>
      <c r="J71" s="43"/>
      <c r="K71" s="332">
        <v>2023</v>
      </c>
      <c r="L71" s="109">
        <f t="shared" ref="L71" si="26">K71+1</f>
        <v>2024</v>
      </c>
      <c r="M71" s="109">
        <f t="shared" ref="M71" si="27">L71+1</f>
        <v>2025</v>
      </c>
      <c r="N71" s="109">
        <f t="shared" ref="N71" si="28">M71+1</f>
        <v>2026</v>
      </c>
      <c r="O71" s="109">
        <f t="shared" ref="O71" si="29">N71+1</f>
        <v>2027</v>
      </c>
      <c r="P71" s="109">
        <f t="shared" ref="P71" si="30">O71+1</f>
        <v>2028</v>
      </c>
    </row>
    <row r="72" spans="1:16" x14ac:dyDescent="0.2">
      <c r="B72" s="1" t="s">
        <v>66</v>
      </c>
      <c r="K72" s="169">
        <f>K54</f>
        <v>855.23028124999996</v>
      </c>
      <c r="L72" s="92">
        <f t="shared" ref="L72:P73" si="31">L54</f>
        <v>923.6487037500001</v>
      </c>
      <c r="M72" s="92">
        <f t="shared" si="31"/>
        <v>997.54060005000019</v>
      </c>
      <c r="N72" s="92">
        <f t="shared" si="31"/>
        <v>1077.3438480540003</v>
      </c>
      <c r="O72" s="92">
        <f t="shared" si="31"/>
        <v>1163.5313558983205</v>
      </c>
      <c r="P72" s="92">
        <f t="shared" si="31"/>
        <v>1256.6138643701863</v>
      </c>
    </row>
    <row r="73" spans="1:16" x14ac:dyDescent="0.2">
      <c r="B73" s="25" t="s">
        <v>172</v>
      </c>
      <c r="K73" s="172">
        <f>K55</f>
        <v>6.1460398585533836E-3</v>
      </c>
      <c r="L73" s="156">
        <f t="shared" si="31"/>
        <v>6.1460398585533836E-3</v>
      </c>
      <c r="M73" s="156">
        <f t="shared" si="31"/>
        <v>6.1460398585533836E-3</v>
      </c>
      <c r="N73" s="156">
        <f t="shared" si="31"/>
        <v>6.1460398585533836E-3</v>
      </c>
      <c r="O73" s="156">
        <f t="shared" si="31"/>
        <v>6.1460398585533836E-3</v>
      </c>
      <c r="P73" s="156">
        <f t="shared" si="31"/>
        <v>6.1460398585533836E-3</v>
      </c>
    </row>
    <row r="74" spans="1:16" x14ac:dyDescent="0.2">
      <c r="K74" s="171"/>
    </row>
    <row r="75" spans="1:16" x14ac:dyDescent="0.2">
      <c r="B75" s="1" t="s">
        <v>175</v>
      </c>
      <c r="K75" s="169">
        <f>E14</f>
        <v>16964.375250000005</v>
      </c>
      <c r="L75" s="92">
        <f>L76*L39</f>
        <v>18321.525270000006</v>
      </c>
      <c r="M75" s="92">
        <f t="shared" ref="M75:P75" si="32">M76*M39</f>
        <v>19787.247291600012</v>
      </c>
      <c r="N75" s="92">
        <f t="shared" si="32"/>
        <v>21370.227074928014</v>
      </c>
      <c r="O75" s="92">
        <f t="shared" si="32"/>
        <v>23079.845240922255</v>
      </c>
      <c r="P75" s="92">
        <f t="shared" si="32"/>
        <v>24926.23286019604</v>
      </c>
    </row>
    <row r="76" spans="1:16" x14ac:dyDescent="0.2">
      <c r="B76" s="25" t="s">
        <v>172</v>
      </c>
      <c r="K76" s="172">
        <f>K75/K39</f>
        <v>0.1219130434782609</v>
      </c>
      <c r="L76" s="155">
        <f>K76</f>
        <v>0.1219130434782609</v>
      </c>
      <c r="M76" s="155">
        <f t="shared" ref="M76:P76" si="33">L76</f>
        <v>0.1219130434782609</v>
      </c>
      <c r="N76" s="155">
        <f t="shared" si="33"/>
        <v>0.1219130434782609</v>
      </c>
      <c r="O76" s="155">
        <f t="shared" si="33"/>
        <v>0.1219130434782609</v>
      </c>
      <c r="P76" s="155">
        <f t="shared" si="33"/>
        <v>0.1219130434782609</v>
      </c>
    </row>
    <row r="77" spans="1:16" x14ac:dyDescent="0.2">
      <c r="B77" s="1" t="s">
        <v>176</v>
      </c>
      <c r="K77" s="171"/>
      <c r="L77" s="95">
        <f>L75-K75</f>
        <v>1357.1500200000009</v>
      </c>
      <c r="M77" s="95">
        <f t="shared" ref="M77:P77" si="34">M75-L75</f>
        <v>1465.722021600006</v>
      </c>
      <c r="N77" s="95">
        <f t="shared" si="34"/>
        <v>1582.9797833280027</v>
      </c>
      <c r="O77" s="95">
        <f t="shared" si="34"/>
        <v>1709.6181659942413</v>
      </c>
      <c r="P77" s="95">
        <f t="shared" si="34"/>
        <v>1846.3876192737844</v>
      </c>
    </row>
    <row r="78" spans="1:16" x14ac:dyDescent="0.2">
      <c r="K78" s="171"/>
    </row>
    <row r="79" spans="1:16" x14ac:dyDescent="0.2">
      <c r="B79" s="1" t="s">
        <v>98</v>
      </c>
      <c r="K79" s="169">
        <f>E15</f>
        <v>2087.2715625000001</v>
      </c>
      <c r="L79" s="92">
        <f>L80*L39</f>
        <v>2254.2532875000006</v>
      </c>
      <c r="M79" s="92">
        <f t="shared" ref="M79:P79" si="35">M80*M39</f>
        <v>2434.5935505000007</v>
      </c>
      <c r="N79" s="92">
        <f t="shared" si="35"/>
        <v>2629.3610345400011</v>
      </c>
      <c r="O79" s="92">
        <f t="shared" si="35"/>
        <v>2839.7099173032016</v>
      </c>
      <c r="P79" s="92">
        <f t="shared" si="35"/>
        <v>3066.8867106874577</v>
      </c>
    </row>
    <row r="80" spans="1:16" x14ac:dyDescent="0.2">
      <c r="B80" s="25" t="s">
        <v>172</v>
      </c>
      <c r="K80" s="172">
        <f>K79/K39</f>
        <v>1.5000000000000001E-2</v>
      </c>
      <c r="L80" s="156">
        <f>K80</f>
        <v>1.5000000000000001E-2</v>
      </c>
      <c r="M80" s="156">
        <f t="shared" ref="M80:P80" si="36">L80</f>
        <v>1.5000000000000001E-2</v>
      </c>
      <c r="N80" s="156">
        <f t="shared" si="36"/>
        <v>1.5000000000000001E-2</v>
      </c>
      <c r="O80" s="156">
        <f t="shared" si="36"/>
        <v>1.5000000000000001E-2</v>
      </c>
      <c r="P80" s="156">
        <f t="shared" si="36"/>
        <v>1.5000000000000001E-2</v>
      </c>
    </row>
    <row r="81" spans="1:16" x14ac:dyDescent="0.2">
      <c r="K81" s="171"/>
    </row>
    <row r="82" spans="1:16" x14ac:dyDescent="0.2">
      <c r="A82" s="79" t="s">
        <v>87</v>
      </c>
      <c r="B82" s="17" t="s">
        <v>177</v>
      </c>
      <c r="C82" s="43"/>
      <c r="D82" s="43"/>
      <c r="E82" s="43"/>
      <c r="F82" s="43"/>
      <c r="G82" s="43"/>
      <c r="H82" s="43"/>
      <c r="I82" s="43"/>
      <c r="J82" s="43"/>
      <c r="K82" s="332">
        <v>2023</v>
      </c>
      <c r="L82" s="109">
        <f t="shared" ref="L82" si="37">K82+1</f>
        <v>2024</v>
      </c>
      <c r="M82" s="109">
        <f t="shared" ref="M82" si="38">L82+1</f>
        <v>2025</v>
      </c>
      <c r="N82" s="109">
        <f t="shared" ref="N82" si="39">M82+1</f>
        <v>2026</v>
      </c>
      <c r="O82" s="109">
        <f t="shared" ref="O82" si="40">N82+1</f>
        <v>2027</v>
      </c>
      <c r="P82" s="109">
        <f t="shared" ref="P82" si="41">O82+1</f>
        <v>2028</v>
      </c>
    </row>
    <row r="83" spans="1:16" x14ac:dyDescent="0.2">
      <c r="B83" s="1" t="s">
        <v>18</v>
      </c>
      <c r="K83" s="171"/>
      <c r="L83" s="92">
        <f>L68</f>
        <v>10620.552402318748</v>
      </c>
      <c r="M83" s="92">
        <f t="shared" ref="M83:P83" si="42">M68</f>
        <v>12299.235843718254</v>
      </c>
      <c r="N83" s="92">
        <f t="shared" si="42"/>
        <v>14154.785125876864</v>
      </c>
      <c r="O83" s="92">
        <f t="shared" si="42"/>
        <v>16203.535545401013</v>
      </c>
      <c r="P83" s="92">
        <f t="shared" si="42"/>
        <v>18463.241475232553</v>
      </c>
    </row>
    <row r="84" spans="1:16" x14ac:dyDescent="0.2">
      <c r="B84" s="1" t="s">
        <v>66</v>
      </c>
      <c r="K84" s="171"/>
      <c r="L84" s="92">
        <f>L72</f>
        <v>923.6487037500001</v>
      </c>
      <c r="M84" s="92">
        <f t="shared" ref="M84:P84" si="43">M72</f>
        <v>997.54060005000019</v>
      </c>
      <c r="N84" s="92">
        <f t="shared" si="43"/>
        <v>1077.3438480540003</v>
      </c>
      <c r="O84" s="92">
        <f t="shared" si="43"/>
        <v>1163.5313558983205</v>
      </c>
      <c r="P84" s="92">
        <f t="shared" si="43"/>
        <v>1256.6138643701863</v>
      </c>
    </row>
    <row r="85" spans="1:16" x14ac:dyDescent="0.2">
      <c r="B85" s="1" t="s">
        <v>98</v>
      </c>
      <c r="K85" s="171"/>
      <c r="L85" s="92">
        <f>L79</f>
        <v>2254.2532875000006</v>
      </c>
      <c r="M85" s="92">
        <f t="shared" ref="M85:P85" si="44">M79</f>
        <v>2434.5935505000007</v>
      </c>
      <c r="N85" s="92">
        <f t="shared" si="44"/>
        <v>2629.3610345400011</v>
      </c>
      <c r="O85" s="92">
        <f t="shared" si="44"/>
        <v>2839.7099173032016</v>
      </c>
      <c r="P85" s="92">
        <f t="shared" si="44"/>
        <v>3066.8867106874577</v>
      </c>
    </row>
    <row r="86" spans="1:16" x14ac:dyDescent="0.2">
      <c r="B86" s="1" t="s">
        <v>99</v>
      </c>
      <c r="K86" s="171"/>
      <c r="L86" s="92">
        <f>L77</f>
        <v>1357.1500200000009</v>
      </c>
      <c r="M86" s="92">
        <f t="shared" ref="M86:P86" si="45">M77</f>
        <v>1465.722021600006</v>
      </c>
      <c r="N86" s="92">
        <f t="shared" si="45"/>
        <v>1582.9797833280027</v>
      </c>
      <c r="O86" s="92">
        <f t="shared" si="45"/>
        <v>1709.6181659942413</v>
      </c>
      <c r="P86" s="92">
        <f t="shared" si="45"/>
        <v>1846.3876192737844</v>
      </c>
    </row>
    <row r="87" spans="1:16" x14ac:dyDescent="0.2">
      <c r="B87" s="28" t="s">
        <v>177</v>
      </c>
      <c r="C87" s="21"/>
      <c r="D87" s="21"/>
      <c r="E87" s="21"/>
      <c r="F87" s="21"/>
      <c r="G87" s="21"/>
      <c r="H87" s="21"/>
      <c r="I87" s="21"/>
      <c r="J87" s="21"/>
      <c r="K87" s="173"/>
      <c r="L87" s="153">
        <f>L83+L84-L85-L86</f>
        <v>7932.7977985687467</v>
      </c>
      <c r="M87" s="153">
        <f t="shared" ref="M87:P87" si="46">M83+M84-M85-M86</f>
        <v>9396.4608716682487</v>
      </c>
      <c r="N87" s="153">
        <f t="shared" si="46"/>
        <v>11019.788156062861</v>
      </c>
      <c r="O87" s="153">
        <f t="shared" si="46"/>
        <v>12817.738818001892</v>
      </c>
      <c r="P87" s="157">
        <f t="shared" si="46"/>
        <v>14806.581009641497</v>
      </c>
    </row>
    <row r="88" spans="1:16" x14ac:dyDescent="0.2">
      <c r="K88" s="171"/>
    </row>
    <row r="89" spans="1:16" x14ac:dyDescent="0.2">
      <c r="A89" s="79" t="s">
        <v>87</v>
      </c>
      <c r="B89" s="96" t="s">
        <v>178</v>
      </c>
      <c r="C89" s="111"/>
      <c r="D89" s="111"/>
      <c r="E89" s="111"/>
      <c r="F89" s="111"/>
      <c r="G89" s="111"/>
      <c r="H89" s="111"/>
      <c r="I89" s="111"/>
      <c r="J89" s="111"/>
      <c r="K89" s="177"/>
      <c r="L89" s="111"/>
      <c r="M89" s="111"/>
      <c r="N89" s="111"/>
      <c r="O89" s="111"/>
      <c r="P89" s="111"/>
    </row>
    <row r="90" spans="1:16" ht="5.0999999999999996" customHeight="1" x14ac:dyDescent="0.2">
      <c r="K90" s="171"/>
    </row>
    <row r="91" spans="1:16" x14ac:dyDescent="0.2">
      <c r="B91" s="17"/>
      <c r="C91" s="43"/>
      <c r="D91" s="43"/>
      <c r="E91" s="43"/>
      <c r="F91" s="43"/>
      <c r="G91" s="43"/>
      <c r="H91" s="43"/>
      <c r="I91" s="43"/>
      <c r="J91" s="43"/>
      <c r="K91" s="332">
        <v>2023</v>
      </c>
      <c r="L91" s="109">
        <f t="shared" ref="L91" si="47">K91+1</f>
        <v>2024</v>
      </c>
      <c r="M91" s="109">
        <f t="shared" ref="M91" si="48">L91+1</f>
        <v>2025</v>
      </c>
      <c r="N91" s="109">
        <f t="shared" ref="N91" si="49">M91+1</f>
        <v>2026</v>
      </c>
      <c r="O91" s="109">
        <f t="shared" ref="O91" si="50">N91+1</f>
        <v>2027</v>
      </c>
      <c r="P91" s="109">
        <f t="shared" ref="P91" si="51">O91+1</f>
        <v>2028</v>
      </c>
    </row>
    <row r="92" spans="1:16" x14ac:dyDescent="0.2">
      <c r="B92" s="6" t="s">
        <v>68</v>
      </c>
      <c r="K92" s="171"/>
    </row>
    <row r="93" spans="1:16" x14ac:dyDescent="0.2">
      <c r="B93" s="51" t="s">
        <v>54</v>
      </c>
      <c r="K93" s="171"/>
      <c r="L93" s="92">
        <f>K96</f>
        <v>48703.003124999974</v>
      </c>
      <c r="M93" s="92">
        <f t="shared" ref="M93:P93" si="52">L96</f>
        <v>40770.205326431227</v>
      </c>
      <c r="N93" s="92">
        <f t="shared" si="52"/>
        <v>31373.744454762978</v>
      </c>
      <c r="O93" s="92">
        <f t="shared" si="52"/>
        <v>20353.956298700119</v>
      </c>
      <c r="P93" s="92">
        <f t="shared" si="52"/>
        <v>7536.2174806982275</v>
      </c>
    </row>
    <row r="94" spans="1:16" x14ac:dyDescent="0.2">
      <c r="B94" s="51" t="s">
        <v>42</v>
      </c>
      <c r="K94" s="171"/>
      <c r="L94" s="92">
        <f>L93*$P$9</f>
        <v>3165.6952031249984</v>
      </c>
      <c r="M94" s="92">
        <f t="shared" ref="M94:P94" si="53">M93*$P$9</f>
        <v>2650.0633462180299</v>
      </c>
      <c r="N94" s="92">
        <f t="shared" si="53"/>
        <v>2039.2933895595936</v>
      </c>
      <c r="O94" s="92">
        <f t="shared" si="53"/>
        <v>1323.0071594155079</v>
      </c>
      <c r="P94" s="92">
        <f t="shared" si="53"/>
        <v>489.85413624538478</v>
      </c>
    </row>
    <row r="95" spans="1:16" x14ac:dyDescent="0.2">
      <c r="B95" s="60" t="s">
        <v>75</v>
      </c>
      <c r="C95" s="37"/>
      <c r="D95" s="37"/>
      <c r="E95" s="37"/>
      <c r="F95" s="37"/>
      <c r="G95" s="37"/>
      <c r="H95" s="37"/>
      <c r="I95" s="37"/>
      <c r="J95" s="37"/>
      <c r="K95" s="174"/>
      <c r="L95" s="137">
        <f>MIN(L87,L93)</f>
        <v>7932.7977985687467</v>
      </c>
      <c r="M95" s="137">
        <f t="shared" ref="M95:P95" si="54">MIN(M87,M93)</f>
        <v>9396.4608716682487</v>
      </c>
      <c r="N95" s="137">
        <f t="shared" si="54"/>
        <v>11019.788156062861</v>
      </c>
      <c r="O95" s="137">
        <f t="shared" si="54"/>
        <v>12817.738818001892</v>
      </c>
      <c r="P95" s="137">
        <f t="shared" si="54"/>
        <v>7536.2174806982275</v>
      </c>
    </row>
    <row r="96" spans="1:16" x14ac:dyDescent="0.2">
      <c r="B96" s="112" t="s">
        <v>55</v>
      </c>
      <c r="K96" s="175">
        <f>O9</f>
        <v>48703.003124999974</v>
      </c>
      <c r="L96" s="138">
        <f>L93-L95</f>
        <v>40770.205326431227</v>
      </c>
      <c r="M96" s="138">
        <f t="shared" ref="M96:P96" si="55">M93-M95</f>
        <v>31373.744454762978</v>
      </c>
      <c r="N96" s="138">
        <f t="shared" si="55"/>
        <v>20353.956298700119</v>
      </c>
      <c r="O96" s="138">
        <f t="shared" si="55"/>
        <v>7536.2174806982275</v>
      </c>
      <c r="P96" s="138">
        <f t="shared" si="55"/>
        <v>0</v>
      </c>
    </row>
    <row r="97" spans="1:16" x14ac:dyDescent="0.2">
      <c r="K97" s="171"/>
    </row>
    <row r="98" spans="1:16" x14ac:dyDescent="0.2">
      <c r="B98" s="6" t="s">
        <v>69</v>
      </c>
      <c r="K98" s="171"/>
    </row>
    <row r="99" spans="1:16" x14ac:dyDescent="0.2">
      <c r="B99" s="51" t="s">
        <v>54</v>
      </c>
      <c r="K99" s="171"/>
      <c r="L99" s="92">
        <f>K102</f>
        <v>29221.801874999986</v>
      </c>
      <c r="M99" s="92">
        <f t="shared" ref="M99:P99" si="56">L102</f>
        <v>29221.801874999986</v>
      </c>
      <c r="N99" s="92">
        <f t="shared" si="56"/>
        <v>29221.801874999986</v>
      </c>
      <c r="O99" s="92">
        <f t="shared" si="56"/>
        <v>29221.801874999986</v>
      </c>
      <c r="P99" s="92">
        <f t="shared" si="56"/>
        <v>29221.801874999986</v>
      </c>
    </row>
    <row r="100" spans="1:16" x14ac:dyDescent="0.2">
      <c r="B100" s="51" t="s">
        <v>42</v>
      </c>
      <c r="K100" s="171"/>
      <c r="L100" s="92">
        <f>L99*$P$10</f>
        <v>3506.6162249999984</v>
      </c>
      <c r="M100" s="92">
        <f t="shared" ref="M100:P100" si="57">M99*$P$10</f>
        <v>3506.6162249999984</v>
      </c>
      <c r="N100" s="92">
        <f t="shared" si="57"/>
        <v>3506.6162249999984</v>
      </c>
      <c r="O100" s="92">
        <f t="shared" si="57"/>
        <v>3506.6162249999984</v>
      </c>
      <c r="P100" s="92">
        <f t="shared" si="57"/>
        <v>3506.6162249999984</v>
      </c>
    </row>
    <row r="101" spans="1:16" x14ac:dyDescent="0.2">
      <c r="B101" s="60" t="s">
        <v>75</v>
      </c>
      <c r="C101" s="37"/>
      <c r="D101" s="37"/>
      <c r="E101" s="37"/>
      <c r="F101" s="37"/>
      <c r="G101" s="37"/>
      <c r="H101" s="37"/>
      <c r="I101" s="37"/>
      <c r="J101" s="37"/>
      <c r="K101" s="174"/>
      <c r="L101" s="137">
        <f>MIN(L99,L87-L95)</f>
        <v>0</v>
      </c>
      <c r="M101" s="137">
        <f t="shared" ref="M101:P101" si="58">MIN(M99,M87-M95)</f>
        <v>0</v>
      </c>
      <c r="N101" s="137">
        <f t="shared" si="58"/>
        <v>0</v>
      </c>
      <c r="O101" s="137">
        <f t="shared" si="58"/>
        <v>0</v>
      </c>
      <c r="P101" s="137">
        <f t="shared" si="58"/>
        <v>7270.3635289432696</v>
      </c>
    </row>
    <row r="102" spans="1:16" x14ac:dyDescent="0.2">
      <c r="B102" s="112" t="s">
        <v>55</v>
      </c>
      <c r="K102" s="175">
        <f>O10</f>
        <v>29221.801874999986</v>
      </c>
      <c r="L102" s="138">
        <f>L99-L101</f>
        <v>29221.801874999986</v>
      </c>
      <c r="M102" s="138">
        <f t="shared" ref="M102:P102" si="59">M99-M101</f>
        <v>29221.801874999986</v>
      </c>
      <c r="N102" s="138">
        <f t="shared" si="59"/>
        <v>29221.801874999986</v>
      </c>
      <c r="O102" s="138">
        <f t="shared" si="59"/>
        <v>29221.801874999986</v>
      </c>
      <c r="P102" s="138">
        <f t="shared" si="59"/>
        <v>21951.438346056719</v>
      </c>
    </row>
    <row r="103" spans="1:16" x14ac:dyDescent="0.2">
      <c r="K103" s="171"/>
    </row>
    <row r="104" spans="1:16" x14ac:dyDescent="0.2">
      <c r="B104" s="6" t="s">
        <v>127</v>
      </c>
      <c r="K104" s="171"/>
    </row>
    <row r="105" spans="1:16" x14ac:dyDescent="0.2">
      <c r="B105" s="51" t="s">
        <v>54</v>
      </c>
      <c r="K105" s="171"/>
      <c r="L105" s="95">
        <f t="shared" ref="L105:P108" si="60">L93+L99</f>
        <v>77924.804999999964</v>
      </c>
      <c r="M105" s="95">
        <f t="shared" si="60"/>
        <v>69992.007201431217</v>
      </c>
      <c r="N105" s="95">
        <f t="shared" si="60"/>
        <v>60595.546329762961</v>
      </c>
      <c r="O105" s="95">
        <f t="shared" si="60"/>
        <v>49575.758173700102</v>
      </c>
      <c r="P105" s="95">
        <f t="shared" si="60"/>
        <v>36758.019355698212</v>
      </c>
    </row>
    <row r="106" spans="1:16" x14ac:dyDescent="0.2">
      <c r="B106" s="51" t="s">
        <v>42</v>
      </c>
      <c r="K106" s="171"/>
      <c r="L106" s="95">
        <f t="shared" si="60"/>
        <v>6672.3114281249964</v>
      </c>
      <c r="M106" s="95">
        <f t="shared" si="60"/>
        <v>6156.6795712180283</v>
      </c>
      <c r="N106" s="95">
        <f t="shared" si="60"/>
        <v>5545.9096145595922</v>
      </c>
      <c r="O106" s="95">
        <f t="shared" si="60"/>
        <v>4829.6233844155067</v>
      </c>
      <c r="P106" s="95">
        <f t="shared" si="60"/>
        <v>3996.4703612453832</v>
      </c>
    </row>
    <row r="107" spans="1:16" x14ac:dyDescent="0.2">
      <c r="B107" s="60" t="s">
        <v>75</v>
      </c>
      <c r="C107" s="37"/>
      <c r="D107" s="37"/>
      <c r="E107" s="37"/>
      <c r="F107" s="37"/>
      <c r="G107" s="37"/>
      <c r="H107" s="37"/>
      <c r="I107" s="37"/>
      <c r="J107" s="37"/>
      <c r="K107" s="174"/>
      <c r="L107" s="137">
        <f t="shared" si="60"/>
        <v>7932.7977985687467</v>
      </c>
      <c r="M107" s="137">
        <f t="shared" si="60"/>
        <v>9396.4608716682487</v>
      </c>
      <c r="N107" s="137">
        <f t="shared" si="60"/>
        <v>11019.788156062861</v>
      </c>
      <c r="O107" s="137">
        <f t="shared" si="60"/>
        <v>12817.738818001892</v>
      </c>
      <c r="P107" s="137">
        <f t="shared" si="60"/>
        <v>14806.581009641497</v>
      </c>
    </row>
    <row r="108" spans="1:16" x14ac:dyDescent="0.2">
      <c r="B108" s="112" t="s">
        <v>55</v>
      </c>
      <c r="C108" s="6"/>
      <c r="D108" s="6"/>
      <c r="E108" s="6"/>
      <c r="F108" s="6"/>
      <c r="G108" s="6"/>
      <c r="H108" s="6"/>
      <c r="I108" s="6"/>
      <c r="J108" s="6"/>
      <c r="K108" s="176">
        <f>K96+K102</f>
        <v>77924.804999999964</v>
      </c>
      <c r="L108" s="138">
        <f t="shared" si="60"/>
        <v>69992.007201431217</v>
      </c>
      <c r="M108" s="138">
        <f t="shared" si="60"/>
        <v>60595.546329762961</v>
      </c>
      <c r="N108" s="138">
        <f t="shared" si="60"/>
        <v>49575.758173700102</v>
      </c>
      <c r="O108" s="138">
        <f t="shared" si="60"/>
        <v>36758.019355698212</v>
      </c>
      <c r="P108" s="138">
        <f t="shared" si="60"/>
        <v>21951.438346056719</v>
      </c>
    </row>
    <row r="110" spans="1:16" x14ac:dyDescent="0.2">
      <c r="A110" s="79" t="s">
        <v>87</v>
      </c>
      <c r="B110" s="96" t="s">
        <v>187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1:16" ht="5.0999999999999996" customHeight="1" x14ac:dyDescent="0.2">
      <c r="B111" s="183"/>
    </row>
    <row r="112" spans="1:16" x14ac:dyDescent="0.2">
      <c r="B112" s="1" t="s">
        <v>179</v>
      </c>
      <c r="E112" s="95">
        <f>P57</f>
        <v>28624.275966416266</v>
      </c>
    </row>
    <row r="113" spans="2:16" x14ac:dyDescent="0.2">
      <c r="B113" s="37" t="s">
        <v>159</v>
      </c>
      <c r="C113" s="37"/>
      <c r="D113" s="37"/>
      <c r="E113" s="180">
        <f>J18</f>
        <v>8</v>
      </c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</row>
    <row r="114" spans="2:16" x14ac:dyDescent="0.2">
      <c r="B114" s="6" t="s">
        <v>107</v>
      </c>
      <c r="C114" s="6"/>
      <c r="D114" s="6"/>
      <c r="E114" s="138">
        <f>E112*E113</f>
        <v>228994.20773133013</v>
      </c>
    </row>
    <row r="115" spans="2:16" x14ac:dyDescent="0.2">
      <c r="B115" s="51" t="s">
        <v>109</v>
      </c>
      <c r="E115" s="95">
        <f>P108</f>
        <v>21951.438346056719</v>
      </c>
    </row>
    <row r="116" spans="2:16" x14ac:dyDescent="0.2">
      <c r="B116" s="60" t="s">
        <v>108</v>
      </c>
      <c r="C116" s="37"/>
      <c r="D116" s="37"/>
      <c r="E116" s="181">
        <f>Financials!K27</f>
        <v>10317.718016104591</v>
      </c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7" spans="2:16" x14ac:dyDescent="0.2">
      <c r="B117" s="6" t="s">
        <v>110</v>
      </c>
      <c r="E117" s="138">
        <f>E114-E115+E116</f>
        <v>217360.48740137799</v>
      </c>
    </row>
    <row r="119" spans="2:16" x14ac:dyDescent="0.2">
      <c r="B119" s="17" t="s">
        <v>188</v>
      </c>
      <c r="C119" s="17"/>
      <c r="D119" s="17"/>
      <c r="E119" s="158" t="s">
        <v>71</v>
      </c>
      <c r="F119" s="158"/>
      <c r="G119" s="158" t="s">
        <v>189</v>
      </c>
      <c r="H119" s="97"/>
      <c r="I119" s="158"/>
      <c r="J119" s="97"/>
      <c r="K119" s="158"/>
      <c r="L119" s="97"/>
      <c r="M119" s="97"/>
      <c r="N119" s="97"/>
      <c r="O119" s="97"/>
      <c r="P119" s="97"/>
    </row>
    <row r="120" spans="2:16" x14ac:dyDescent="0.2">
      <c r="B120" s="51" t="s">
        <v>167</v>
      </c>
      <c r="E120" s="95">
        <f>E29</f>
        <v>60693.603749999973</v>
      </c>
      <c r="G120" s="183">
        <f>E120/E122</f>
        <v>0.75</v>
      </c>
    </row>
    <row r="121" spans="2:16" x14ac:dyDescent="0.2">
      <c r="B121" s="60" t="s">
        <v>185</v>
      </c>
      <c r="C121" s="37"/>
      <c r="D121" s="37"/>
      <c r="E121" s="137">
        <f>E30</f>
        <v>20231.201249999991</v>
      </c>
      <c r="F121" s="37"/>
      <c r="G121" s="182">
        <f>E121/E122</f>
        <v>0.25</v>
      </c>
      <c r="H121" s="37"/>
      <c r="I121" s="37"/>
      <c r="J121" s="37"/>
      <c r="K121" s="37"/>
      <c r="L121" s="37"/>
      <c r="M121" s="37"/>
      <c r="N121" s="37"/>
      <c r="O121" s="37"/>
      <c r="P121" s="37"/>
    </row>
    <row r="122" spans="2:16" x14ac:dyDescent="0.2">
      <c r="B122" s="6" t="s">
        <v>137</v>
      </c>
      <c r="E122" s="138">
        <f>E121+E120</f>
        <v>80924.804999999964</v>
      </c>
      <c r="G122" s="184">
        <f>G121+G120</f>
        <v>1</v>
      </c>
    </row>
    <row r="124" spans="2:16" x14ac:dyDescent="0.2">
      <c r="B124" s="17" t="s">
        <v>190</v>
      </c>
      <c r="C124" s="97"/>
      <c r="D124" s="97"/>
      <c r="E124" s="158" t="s">
        <v>71</v>
      </c>
      <c r="F124" s="97"/>
      <c r="G124" s="158" t="s">
        <v>154</v>
      </c>
      <c r="H124" s="97"/>
      <c r="I124" s="158" t="s">
        <v>156</v>
      </c>
      <c r="J124" s="97"/>
      <c r="K124" s="158"/>
      <c r="L124" s="97"/>
      <c r="M124" s="97"/>
      <c r="N124" s="97"/>
      <c r="O124" s="97"/>
      <c r="P124" s="97"/>
    </row>
    <row r="125" spans="2:16" x14ac:dyDescent="0.2">
      <c r="B125" s="51" t="s">
        <v>191</v>
      </c>
      <c r="E125" s="95">
        <f>$E$117*G120</f>
        <v>163020.36555103349</v>
      </c>
      <c r="G125" s="150">
        <f>E125/E120</f>
        <v>2.685956270161888</v>
      </c>
      <c r="I125" s="185">
        <f>G125^(1/5)-1</f>
        <v>0.21848387859577589</v>
      </c>
    </row>
    <row r="126" spans="2:16" x14ac:dyDescent="0.2">
      <c r="B126" s="60" t="s">
        <v>192</v>
      </c>
      <c r="C126" s="37"/>
      <c r="D126" s="37"/>
      <c r="E126" s="137">
        <f t="shared" ref="E126" si="61">$E$117*G121</f>
        <v>54340.121850344498</v>
      </c>
      <c r="F126" s="37"/>
      <c r="G126" s="178">
        <f t="shared" ref="G126" si="62">E126/E121</f>
        <v>2.685956270161888</v>
      </c>
      <c r="H126" s="37"/>
      <c r="I126" s="119">
        <f t="shared" ref="I126" si="63">G126^(1/5)-1</f>
        <v>0.21848387859577589</v>
      </c>
      <c r="J126" s="37"/>
      <c r="K126" s="37"/>
      <c r="L126" s="37"/>
      <c r="M126" s="37"/>
      <c r="N126" s="37"/>
      <c r="O126" s="37"/>
      <c r="P126" s="37"/>
    </row>
    <row r="127" spans="2:16" x14ac:dyDescent="0.2">
      <c r="B127" s="6" t="s">
        <v>137</v>
      </c>
      <c r="E127" s="138">
        <f>E126+E125</f>
        <v>217360.48740137799</v>
      </c>
      <c r="G127" s="151">
        <f>AVERAGE(G125:G126)</f>
        <v>2.685956270161888</v>
      </c>
      <c r="I127" s="230">
        <f>AVERAGE(I125:I126)</f>
        <v>0.21848387859577589</v>
      </c>
    </row>
    <row r="128" spans="2:16" x14ac:dyDescent="0.2">
      <c r="B128" s="6"/>
      <c r="E128" s="138"/>
      <c r="G128" s="151"/>
      <c r="I128" s="230"/>
    </row>
    <row r="129" spans="1:16" x14ac:dyDescent="0.2">
      <c r="B129" s="234" t="s">
        <v>224</v>
      </c>
      <c r="C129" s="17"/>
      <c r="D129" s="17"/>
      <c r="E129" s="231"/>
      <c r="F129" s="17"/>
      <c r="G129" s="232"/>
      <c r="H129" s="17"/>
      <c r="I129" s="233"/>
      <c r="J129" s="17"/>
    </row>
    <row r="130" spans="1:16" ht="15" x14ac:dyDescent="0.25">
      <c r="B130" s="366" t="s">
        <v>150</v>
      </c>
      <c r="C130" s="363" t="s">
        <v>159</v>
      </c>
      <c r="D130" s="363"/>
      <c r="E130" s="363"/>
      <c r="F130" s="363"/>
      <c r="G130" s="363"/>
      <c r="H130" s="363"/>
      <c r="I130" s="363"/>
      <c r="J130" s="363"/>
    </row>
    <row r="131" spans="1:16" ht="13.5" thickBot="1" x14ac:dyDescent="0.25">
      <c r="B131" s="366"/>
      <c r="C131" s="325">
        <f>I125</f>
        <v>0.21848387859577589</v>
      </c>
      <c r="D131" s="327">
        <v>6.5</v>
      </c>
      <c r="E131" s="327">
        <v>7</v>
      </c>
      <c r="F131" s="327">
        <v>7.5</v>
      </c>
      <c r="G131" s="327">
        <v>8</v>
      </c>
      <c r="H131" s="327">
        <v>8.5</v>
      </c>
      <c r="I131" s="327">
        <v>9</v>
      </c>
      <c r="J131" s="327">
        <v>9.5</v>
      </c>
    </row>
    <row r="132" spans="1:16" x14ac:dyDescent="0.2">
      <c r="B132" s="366"/>
      <c r="C132" s="326">
        <v>6.5</v>
      </c>
      <c r="D132" s="186">
        <f t="dataTable" ref="D132:J138" dt2D="1" dtr="1" r1="E113" r2="J10"/>
        <v>0.27531694762299641</v>
      </c>
      <c r="E132" s="186">
        <v>0.29559091127707027</v>
      </c>
      <c r="F132" s="186">
        <v>0.31466995792394425</v>
      </c>
      <c r="G132" s="186">
        <v>0.33270174373661976</v>
      </c>
      <c r="H132" s="186">
        <v>0.34980735471931501</v>
      </c>
      <c r="I132" s="186">
        <v>0.36608740586652533</v>
      </c>
      <c r="J132" s="186">
        <v>0.38162647203600808</v>
      </c>
    </row>
    <row r="133" spans="1:16" x14ac:dyDescent="0.2">
      <c r="B133" s="366"/>
      <c r="C133" s="326">
        <v>7</v>
      </c>
      <c r="D133" s="186">
        <v>0.23204323664919757</v>
      </c>
      <c r="E133" s="186">
        <v>0.25162926963231547</v>
      </c>
      <c r="F133" s="186">
        <v>0.27006093121009633</v>
      </c>
      <c r="G133" s="186">
        <v>0.28748086732607225</v>
      </c>
      <c r="H133" s="186">
        <v>0.30400605532679803</v>
      </c>
      <c r="I133" s="186">
        <v>0.31973369616589142</v>
      </c>
      <c r="J133" s="186">
        <v>0.33474549492982897</v>
      </c>
    </row>
    <row r="134" spans="1:16" x14ac:dyDescent="0.2">
      <c r="B134" s="366"/>
      <c r="C134" s="326">
        <v>7.5</v>
      </c>
      <c r="D134" s="186">
        <v>0.19631227211084501</v>
      </c>
      <c r="E134" s="186">
        <v>0.21533028294250833</v>
      </c>
      <c r="F134" s="186">
        <v>0.23322740074241843</v>
      </c>
      <c r="G134" s="186">
        <v>0.25014213452368295</v>
      </c>
      <c r="H134" s="186">
        <v>0.26618806912738591</v>
      </c>
      <c r="I134" s="186">
        <v>0.28145958654452685</v>
      </c>
      <c r="J134" s="186">
        <v>0.29603602230062886</v>
      </c>
    </row>
    <row r="135" spans="1:16" x14ac:dyDescent="0.2">
      <c r="B135" s="366"/>
      <c r="C135" s="326">
        <v>8</v>
      </c>
      <c r="D135" s="186">
        <v>0.16601718882848604</v>
      </c>
      <c r="E135" s="186">
        <v>0.18455359277920214</v>
      </c>
      <c r="F135" s="186">
        <v>0.20199748888532665</v>
      </c>
      <c r="G135" s="186">
        <v>0.21848387859577589</v>
      </c>
      <c r="H135" s="186">
        <v>0.23412347036032632</v>
      </c>
      <c r="I135" s="186">
        <v>0.24900825606637</v>
      </c>
      <c r="J135" s="186">
        <v>0.26321556216837916</v>
      </c>
    </row>
    <row r="136" spans="1:16" x14ac:dyDescent="0.2">
      <c r="B136" s="366"/>
      <c r="C136" s="326">
        <v>8.5</v>
      </c>
      <c r="D136" s="186">
        <v>0.13981131296296923</v>
      </c>
      <c r="E136" s="186">
        <v>0.15793111696509143</v>
      </c>
      <c r="F136" s="186">
        <v>0.17498296689869997</v>
      </c>
      <c r="G136" s="186">
        <v>0.19109883009688011</v>
      </c>
      <c r="H136" s="186">
        <v>0.20638692687122284</v>
      </c>
      <c r="I136" s="186">
        <v>0.22093718161988907</v>
      </c>
      <c r="J136" s="186">
        <v>0.23482518290919074</v>
      </c>
    </row>
    <row r="137" spans="1:16" x14ac:dyDescent="0.2">
      <c r="B137" s="366"/>
      <c r="C137" s="326">
        <v>9</v>
      </c>
      <c r="D137" s="186">
        <v>0.11678441940644735</v>
      </c>
      <c r="E137" s="186">
        <v>0.13453816036526001</v>
      </c>
      <c r="F137" s="186">
        <v>0.15124552246224376</v>
      </c>
      <c r="G137" s="186">
        <v>0.16703580697716691</v>
      </c>
      <c r="H137" s="186">
        <v>0.18201504791449441</v>
      </c>
      <c r="I137" s="186">
        <v>0.19627135298613307</v>
      </c>
      <c r="J137" s="186">
        <v>0.20987878368996626</v>
      </c>
    </row>
    <row r="138" spans="1:16" x14ac:dyDescent="0.2">
      <c r="B138" s="366"/>
      <c r="C138" s="326">
        <v>9.5</v>
      </c>
      <c r="D138" s="186">
        <v>9.6294058314578379E-2</v>
      </c>
      <c r="E138" s="186">
        <v>0.1137220599841815</v>
      </c>
      <c r="F138" s="186">
        <v>0.13012288137705919</v>
      </c>
      <c r="G138" s="186">
        <v>0.14562345139934441</v>
      </c>
      <c r="H138" s="186">
        <v>0.16032785858151333</v>
      </c>
      <c r="I138" s="186">
        <v>0.17432259406668793</v>
      </c>
      <c r="J138" s="186">
        <v>0.18768036049887749</v>
      </c>
    </row>
    <row r="140" spans="1:16" x14ac:dyDescent="0.2">
      <c r="A140" s="79" t="s">
        <v>87</v>
      </c>
      <c r="B140" s="96" t="s">
        <v>215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2" spans="1:16" x14ac:dyDescent="0.2">
      <c r="B142" s="1" t="s">
        <v>216</v>
      </c>
      <c r="F142" s="95">
        <f>(E127)/((1+J19)^5)</f>
        <v>87352.304929180333</v>
      </c>
    </row>
    <row r="143" spans="1:16" x14ac:dyDescent="0.2">
      <c r="B143" s="60" t="s">
        <v>217</v>
      </c>
      <c r="C143" s="37"/>
      <c r="D143" s="37"/>
      <c r="E143" s="37"/>
      <c r="F143" s="137">
        <f>E27</f>
        <v>77924.804999999964</v>
      </c>
    </row>
    <row r="144" spans="1:16" x14ac:dyDescent="0.2">
      <c r="B144" s="1" t="s">
        <v>218</v>
      </c>
      <c r="F144" s="95">
        <f>F142+F143</f>
        <v>165277.1099291803</v>
      </c>
    </row>
    <row r="146" spans="2:10" x14ac:dyDescent="0.2">
      <c r="B146" s="21" t="s">
        <v>141</v>
      </c>
      <c r="C146" s="21"/>
      <c r="D146" s="21"/>
      <c r="E146" s="21"/>
      <c r="F146" s="136">
        <f>F144/J9</f>
        <v>8.4839280600923086</v>
      </c>
      <c r="G146" s="207"/>
    </row>
    <row r="148" spans="2:10" x14ac:dyDescent="0.2">
      <c r="B148" s="17" t="s">
        <v>219</v>
      </c>
      <c r="C148" s="97"/>
      <c r="D148" s="97"/>
      <c r="E148" s="97"/>
      <c r="F148" s="97"/>
      <c r="G148" s="97"/>
      <c r="H148" s="97"/>
      <c r="I148" s="97"/>
      <c r="J148" s="97"/>
    </row>
    <row r="149" spans="2:10" ht="15" customHeight="1" x14ac:dyDescent="0.25">
      <c r="B149" s="328"/>
      <c r="C149" s="363" t="s">
        <v>223</v>
      </c>
      <c r="D149" s="363"/>
      <c r="E149" s="363"/>
      <c r="F149" s="363"/>
      <c r="G149" s="363"/>
      <c r="H149" s="363"/>
      <c r="I149" s="363"/>
      <c r="J149" s="363"/>
    </row>
    <row r="150" spans="2:10" ht="13.5" thickBot="1" x14ac:dyDescent="0.25">
      <c r="B150" s="366" t="s">
        <v>225</v>
      </c>
      <c r="C150" s="325">
        <f>F146</f>
        <v>8.4839280600923086</v>
      </c>
      <c r="D150" s="330">
        <v>1.75</v>
      </c>
      <c r="E150" s="330">
        <v>2</v>
      </c>
      <c r="F150" s="330">
        <v>2.25</v>
      </c>
      <c r="G150" s="330">
        <v>2.5</v>
      </c>
      <c r="H150" s="330">
        <v>2.75</v>
      </c>
      <c r="I150" s="330">
        <v>3</v>
      </c>
      <c r="J150" s="330">
        <v>3.25</v>
      </c>
    </row>
    <row r="151" spans="2:10" x14ac:dyDescent="0.2">
      <c r="B151" s="366"/>
      <c r="C151" s="329">
        <v>0.17</v>
      </c>
      <c r="D151" s="210">
        <f t="dataTable" ref="D151:J157" dt2D="1" dtr="1" r1="F25" r2="J19" ca="1"/>
        <v>8.7889382824720883</v>
      </c>
      <c r="E151" s="210">
        <v>8.8864154840798957</v>
      </c>
      <c r="F151" s="210">
        <v>8.9855059377544588</v>
      </c>
      <c r="G151" s="210">
        <v>9.0890364053379145</v>
      </c>
      <c r="H151" s="210">
        <v>9.1925668729213683</v>
      </c>
      <c r="I151" s="210">
        <v>9.2960973405048239</v>
      </c>
      <c r="J151" s="210">
        <v>9.3996278080882814</v>
      </c>
    </row>
    <row r="152" spans="2:10" x14ac:dyDescent="0.2">
      <c r="B152" s="366"/>
      <c r="C152" s="329">
        <v>0.18</v>
      </c>
      <c r="D152" s="210">
        <v>8.558181917938569</v>
      </c>
      <c r="E152" s="210">
        <v>8.6620133348617614</v>
      </c>
      <c r="F152" s="210">
        <v>8.7673907945485894</v>
      </c>
      <c r="G152" s="210">
        <v>8.8770232938016029</v>
      </c>
      <c r="H152" s="210">
        <v>8.9866557930546129</v>
      </c>
      <c r="I152" s="210">
        <v>9.0962882923076265</v>
      </c>
      <c r="J152" s="210">
        <v>9.20592079156064</v>
      </c>
    </row>
    <row r="153" spans="2:10" x14ac:dyDescent="0.2">
      <c r="B153" s="366"/>
      <c r="C153" s="329">
        <v>0.19</v>
      </c>
      <c r="D153" s="210">
        <v>8.3388661481041098</v>
      </c>
      <c r="E153" s="210">
        <v>8.4487367467695051</v>
      </c>
      <c r="F153" s="211">
        <v>8.5600895110435786</v>
      </c>
      <c r="G153" s="212">
        <v>8.6755215113238684</v>
      </c>
      <c r="H153" s="213">
        <v>8.7909535116041599</v>
      </c>
      <c r="I153" s="210">
        <v>8.9063855118844515</v>
      </c>
      <c r="J153" s="210">
        <v>9.021817512164743</v>
      </c>
    </row>
    <row r="154" spans="2:10" x14ac:dyDescent="0.2">
      <c r="B154" s="366"/>
      <c r="C154" s="329">
        <v>0.2</v>
      </c>
      <c r="D154" s="210">
        <v>8.130334666469528</v>
      </c>
      <c r="E154" s="210">
        <v>8.2459474856670472</v>
      </c>
      <c r="F154" s="214">
        <v>8.3629817343128892</v>
      </c>
      <c r="G154" s="219">
        <v>8.4839280600923086</v>
      </c>
      <c r="H154" s="215">
        <v>8.6048743858717298</v>
      </c>
      <c r="I154" s="210">
        <v>8.7258207116511528</v>
      </c>
      <c r="J154" s="210">
        <v>8.8467670374305722</v>
      </c>
    </row>
    <row r="155" spans="2:10" x14ac:dyDescent="0.2">
      <c r="B155" s="366"/>
      <c r="C155" s="329">
        <v>0.21</v>
      </c>
      <c r="D155" s="210">
        <v>7.9319738443890317</v>
      </c>
      <c r="E155" s="210">
        <v>8.0530488200743431</v>
      </c>
      <c r="F155" s="216">
        <v>8.1754874513188547</v>
      </c>
      <c r="G155" s="217">
        <v>8.3016791536268144</v>
      </c>
      <c r="H155" s="218">
        <v>8.4278708559347706</v>
      </c>
      <c r="I155" s="210">
        <v>8.5540625582427285</v>
      </c>
      <c r="J155" s="210">
        <v>8.6802542605506865</v>
      </c>
    </row>
    <row r="156" spans="2:10" x14ac:dyDescent="0.2">
      <c r="B156" s="366"/>
      <c r="C156" s="329">
        <v>0.22</v>
      </c>
      <c r="D156" s="210">
        <v>7.7432096341808476</v>
      </c>
      <c r="E156" s="210">
        <v>7.8694825095554082</v>
      </c>
      <c r="F156" s="210">
        <v>7.9970640616761388</v>
      </c>
      <c r="G156" s="210">
        <v>8.1282473714359558</v>
      </c>
      <c r="H156" s="210">
        <v>8.2594306811957718</v>
      </c>
      <c r="I156" s="210">
        <v>8.3906139909555879</v>
      </c>
      <c r="J156" s="210">
        <v>8.521797300715404</v>
      </c>
    </row>
    <row r="157" spans="2:10" x14ac:dyDescent="0.2">
      <c r="B157" s="366"/>
      <c r="C157" s="329">
        <v>0.23</v>
      </c>
      <c r="D157" s="210">
        <v>7.5635047199284555</v>
      </c>
      <c r="E157" s="210">
        <v>7.6947260339764272</v>
      </c>
      <c r="F157" s="210">
        <v>7.8272036845368316</v>
      </c>
      <c r="G157" s="210">
        <v>7.9631390412452117</v>
      </c>
      <c r="H157" s="210">
        <v>8.0990743979535917</v>
      </c>
      <c r="I157" s="210">
        <v>8.2350097546619718</v>
      </c>
      <c r="J157" s="210">
        <v>8.3709451113703501</v>
      </c>
    </row>
    <row r="160" spans="2:10" x14ac:dyDescent="0.2">
      <c r="B160" s="247"/>
      <c r="C160" s="248" t="s">
        <v>209</v>
      </c>
      <c r="D160" s="249"/>
      <c r="E160" s="250"/>
      <c r="F160" s="249">
        <f>MAX(D151:J157)</f>
        <v>9.3996278080882814</v>
      </c>
      <c r="G160" s="251"/>
    </row>
    <row r="161" spans="2:7" x14ac:dyDescent="0.2">
      <c r="B161" s="252"/>
      <c r="C161" s="253" t="s">
        <v>213</v>
      </c>
      <c r="D161" s="254"/>
      <c r="E161" s="255"/>
      <c r="F161" s="254">
        <f>QUARTILE(D151:J157,3)</f>
        <v>8.8467670374305722</v>
      </c>
      <c r="G161" s="256"/>
    </row>
    <row r="162" spans="2:7" x14ac:dyDescent="0.2">
      <c r="B162" s="257"/>
      <c r="C162" s="258" t="s">
        <v>210</v>
      </c>
      <c r="D162" s="259"/>
      <c r="E162" s="260"/>
      <c r="F162" s="259">
        <f>AVERAGE(D151:J157)</f>
        <v>8.5045410636968786</v>
      </c>
      <c r="G162" s="261"/>
    </row>
    <row r="163" spans="2:7" x14ac:dyDescent="0.2">
      <c r="B163" s="257"/>
      <c r="C163" s="258" t="s">
        <v>211</v>
      </c>
      <c r="D163" s="259"/>
      <c r="E163" s="260"/>
      <c r="F163" s="259">
        <f>MEDIAN(D151:J157)</f>
        <v>8.521797300715404</v>
      </c>
      <c r="G163" s="261"/>
    </row>
    <row r="164" spans="2:7" x14ac:dyDescent="0.2">
      <c r="B164" s="252"/>
      <c r="C164" s="253" t="s">
        <v>214</v>
      </c>
      <c r="D164" s="254"/>
      <c r="E164" s="255"/>
      <c r="F164" s="254">
        <f>QUARTILE(D151:J157,1)</f>
        <v>8.1754874513188547</v>
      </c>
      <c r="G164" s="256"/>
    </row>
    <row r="165" spans="2:7" x14ac:dyDescent="0.2">
      <c r="B165" s="262"/>
      <c r="C165" s="263" t="s">
        <v>212</v>
      </c>
      <c r="D165" s="264"/>
      <c r="E165" s="265"/>
      <c r="F165" s="264">
        <f>MIN(D151:J157)</f>
        <v>7.5635047199284555</v>
      </c>
      <c r="G165" s="266"/>
    </row>
  </sheetData>
  <mergeCells count="4">
    <mergeCell ref="B130:B138"/>
    <mergeCell ref="C130:J130"/>
    <mergeCell ref="C149:J149"/>
    <mergeCell ref="B150:B15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D5036-805B-4AA9-8A0B-E48E27E45E1F}">
  <sheetPr>
    <tabColor rgb="FF00B0F0"/>
  </sheetPr>
  <dimension ref="A1:V22"/>
  <sheetViews>
    <sheetView showGridLines="0" workbookViewId="0">
      <selection activeCell="K29" sqref="K29"/>
    </sheetView>
  </sheetViews>
  <sheetFormatPr defaultRowHeight="12.75" x14ac:dyDescent="0.2"/>
  <cols>
    <col min="1" max="1" width="2.625" style="1" customWidth="1"/>
    <col min="2" max="19" width="9" style="1"/>
    <col min="20" max="20" width="2.625" style="1" customWidth="1"/>
    <col min="21" max="16384" width="9" style="1"/>
  </cols>
  <sheetData>
    <row r="1" spans="1:22" x14ac:dyDescent="0.2">
      <c r="A1" s="79"/>
    </row>
    <row r="2" spans="1:22" ht="18" x14ac:dyDescent="0.25">
      <c r="A2" s="79"/>
      <c r="B2" s="77" t="s">
        <v>196</v>
      </c>
    </row>
    <row r="3" spans="1:22" s="76" customFormat="1" ht="9.9499999999999993" customHeight="1" x14ac:dyDescent="0.2">
      <c r="A3" s="142"/>
    </row>
    <row r="4" spans="1:22" x14ac:dyDescent="0.2">
      <c r="A4" s="79"/>
      <c r="B4" s="25" t="s">
        <v>263</v>
      </c>
    </row>
    <row r="5" spans="1:22" x14ac:dyDescent="0.2">
      <c r="A5" s="79"/>
    </row>
    <row r="6" spans="1:22" ht="16.5" thickBot="1" x14ac:dyDescent="0.3">
      <c r="A6" s="79" t="s">
        <v>87</v>
      </c>
      <c r="B6" s="192"/>
      <c r="C6" s="193"/>
      <c r="D6" s="194"/>
      <c r="E6" s="194" t="s">
        <v>201</v>
      </c>
      <c r="F6" s="194"/>
      <c r="G6" s="194"/>
      <c r="H6" s="194"/>
      <c r="I6" s="194"/>
      <c r="J6" s="194"/>
      <c r="K6" s="195"/>
      <c r="L6" s="196"/>
      <c r="M6" s="194" t="s">
        <v>205</v>
      </c>
      <c r="N6" s="197"/>
      <c r="O6" s="197"/>
      <c r="P6" s="198"/>
      <c r="Q6" s="194" t="s">
        <v>202</v>
      </c>
      <c r="R6" s="197"/>
      <c r="S6" s="197"/>
      <c r="T6" s="199"/>
      <c r="U6" s="72"/>
      <c r="V6" s="72"/>
    </row>
    <row r="7" spans="1:22" x14ac:dyDescent="0.2">
      <c r="B7" s="200"/>
      <c r="C7" s="111"/>
      <c r="D7" s="111"/>
      <c r="E7" s="111"/>
      <c r="F7" s="111"/>
      <c r="G7" s="111"/>
      <c r="H7" s="111"/>
      <c r="I7" s="111"/>
      <c r="J7" s="111"/>
      <c r="K7" s="96" t="s">
        <v>203</v>
      </c>
      <c r="L7" s="111"/>
      <c r="M7" s="205" t="s">
        <v>206</v>
      </c>
      <c r="N7" s="111"/>
      <c r="O7" s="205" t="s">
        <v>207</v>
      </c>
      <c r="P7" s="111"/>
      <c r="Q7" s="205" t="s">
        <v>3</v>
      </c>
      <c r="R7" s="111"/>
      <c r="S7" s="205" t="s">
        <v>63</v>
      </c>
      <c r="T7" s="201"/>
      <c r="V7" s="67"/>
    </row>
    <row r="8" spans="1:22" ht="12.75" customHeight="1" x14ac:dyDescent="0.25">
      <c r="B8" s="202" t="s">
        <v>195</v>
      </c>
      <c r="C8" s="96"/>
      <c r="D8" s="96" t="s">
        <v>194</v>
      </c>
      <c r="E8" s="96"/>
      <c r="F8" s="96"/>
      <c r="G8" s="189"/>
      <c r="H8" s="96" t="s">
        <v>197</v>
      </c>
      <c r="I8" s="111"/>
      <c r="J8" s="111"/>
      <c r="K8" s="190" t="s">
        <v>204</v>
      </c>
      <c r="L8" s="111"/>
      <c r="M8" s="206" t="s">
        <v>208</v>
      </c>
      <c r="N8" s="111"/>
      <c r="O8" s="206" t="s">
        <v>208</v>
      </c>
      <c r="P8" s="111"/>
      <c r="Q8" s="206" t="s">
        <v>204</v>
      </c>
      <c r="R8" s="111"/>
      <c r="S8" s="206" t="s">
        <v>204</v>
      </c>
      <c r="T8" s="203"/>
      <c r="V8" s="188"/>
    </row>
    <row r="9" spans="1:22" ht="9.9499999999999993" customHeight="1" x14ac:dyDescent="0.2">
      <c r="A9" s="79"/>
      <c r="B9" s="47"/>
      <c r="T9" s="171"/>
    </row>
    <row r="10" spans="1:22" x14ac:dyDescent="0.2">
      <c r="B10" s="204">
        <v>45291</v>
      </c>
      <c r="D10" s="1" t="s">
        <v>251</v>
      </c>
      <c r="H10" s="1" t="s">
        <v>264</v>
      </c>
      <c r="K10" s="92">
        <v>146000</v>
      </c>
      <c r="M10" s="191">
        <f t="shared" ref="M10:M14" si="0">K10/Q10</f>
        <v>1.4747474747474747</v>
      </c>
      <c r="N10" s="191"/>
      <c r="O10" s="191">
        <f t="shared" ref="O10:O14" si="1">K10/S10</f>
        <v>8.2022471910112351</v>
      </c>
      <c r="Q10" s="92">
        <v>99000</v>
      </c>
      <c r="S10" s="92">
        <v>17800</v>
      </c>
      <c r="T10" s="169"/>
      <c r="U10" s="42"/>
      <c r="V10" s="92"/>
    </row>
    <row r="11" spans="1:22" x14ac:dyDescent="0.2">
      <c r="B11" s="204">
        <v>45253</v>
      </c>
      <c r="D11" s="1" t="s">
        <v>252</v>
      </c>
      <c r="H11" s="1" t="s">
        <v>199</v>
      </c>
      <c r="K11" s="92">
        <v>210000</v>
      </c>
      <c r="M11" s="191">
        <f t="shared" si="0"/>
        <v>1.0769230769230769</v>
      </c>
      <c r="N11" s="191"/>
      <c r="O11" s="191">
        <f t="shared" si="1"/>
        <v>7.7777777777777777</v>
      </c>
      <c r="Q11" s="92">
        <v>195000</v>
      </c>
      <c r="S11" s="92">
        <v>27000</v>
      </c>
      <c r="T11" s="169"/>
      <c r="U11" s="42"/>
      <c r="V11" s="92"/>
    </row>
    <row r="12" spans="1:22" x14ac:dyDescent="0.2">
      <c r="B12" s="204">
        <v>44773</v>
      </c>
      <c r="D12" s="1" t="s">
        <v>253</v>
      </c>
      <c r="H12" s="1" t="s">
        <v>198</v>
      </c>
      <c r="K12" s="92">
        <v>150000</v>
      </c>
      <c r="M12" s="191">
        <f t="shared" si="0"/>
        <v>1.3888888888888888</v>
      </c>
      <c r="N12" s="191"/>
      <c r="O12" s="191">
        <f t="shared" si="1"/>
        <v>10.344827586206897</v>
      </c>
      <c r="Q12" s="92">
        <v>108000</v>
      </c>
      <c r="S12" s="92">
        <v>14500</v>
      </c>
      <c r="T12" s="169"/>
      <c r="U12" s="42"/>
      <c r="V12" s="92"/>
    </row>
    <row r="13" spans="1:22" x14ac:dyDescent="0.2">
      <c r="B13" s="204">
        <v>44621</v>
      </c>
      <c r="D13" s="1" t="s">
        <v>254</v>
      </c>
      <c r="H13" s="1" t="s">
        <v>200</v>
      </c>
      <c r="K13" s="92">
        <v>60000</v>
      </c>
      <c r="M13" s="191">
        <f t="shared" si="0"/>
        <v>1.1320754716981132</v>
      </c>
      <c r="N13" s="191"/>
      <c r="O13" s="191">
        <f t="shared" si="1"/>
        <v>10.909090909090908</v>
      </c>
      <c r="Q13" s="92">
        <v>53000</v>
      </c>
      <c r="S13" s="92">
        <v>5500</v>
      </c>
      <c r="T13" s="169"/>
      <c r="U13" s="42"/>
      <c r="V13" s="92"/>
    </row>
    <row r="14" spans="1:22" x14ac:dyDescent="0.2">
      <c r="B14" s="204">
        <v>44198</v>
      </c>
      <c r="D14" s="1" t="s">
        <v>255</v>
      </c>
      <c r="H14" s="1" t="s">
        <v>250</v>
      </c>
      <c r="K14" s="92">
        <v>207000</v>
      </c>
      <c r="M14" s="191">
        <f t="shared" si="0"/>
        <v>1</v>
      </c>
      <c r="N14" s="191"/>
      <c r="O14" s="191">
        <f t="shared" si="1"/>
        <v>9.4090909090909083</v>
      </c>
      <c r="Q14" s="92">
        <v>207000</v>
      </c>
      <c r="S14" s="92">
        <v>22000</v>
      </c>
      <c r="T14" s="169"/>
      <c r="U14" s="42"/>
      <c r="V14" s="92"/>
    </row>
    <row r="15" spans="1:22" ht="9.9499999999999993" customHeight="1" x14ac:dyDescent="0.2">
      <c r="A15" s="79"/>
      <c r="B15" s="49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174"/>
    </row>
    <row r="16" spans="1:22" ht="9.9499999999999993" customHeight="1" x14ac:dyDescent="0.2">
      <c r="A16" s="79"/>
    </row>
    <row r="17" spans="2:20" x14ac:dyDescent="0.2">
      <c r="B17" s="103"/>
      <c r="K17" s="247"/>
      <c r="L17" s="248" t="s">
        <v>209</v>
      </c>
      <c r="M17" s="249">
        <f>MAX(M10:M14)</f>
        <v>1.4747474747474747</v>
      </c>
      <c r="N17" s="250"/>
      <c r="O17" s="249">
        <f>MAX(O10:O14)</f>
        <v>10.909090909090908</v>
      </c>
      <c r="P17" s="251"/>
    </row>
    <row r="18" spans="2:20" x14ac:dyDescent="0.2">
      <c r="B18" s="103"/>
      <c r="K18" s="252"/>
      <c r="L18" s="253" t="s">
        <v>213</v>
      </c>
      <c r="M18" s="254">
        <f>QUARTILE(M10:M14,3)</f>
        <v>1.3888888888888888</v>
      </c>
      <c r="N18" s="255"/>
      <c r="O18" s="254">
        <f>QUARTILE(O10:O14,3)</f>
        <v>10.344827586206897</v>
      </c>
      <c r="P18" s="256"/>
    </row>
    <row r="19" spans="2:20" x14ac:dyDescent="0.2">
      <c r="B19" s="116"/>
      <c r="C19" s="6"/>
      <c r="D19" s="6"/>
      <c r="E19" s="6"/>
      <c r="F19" s="6"/>
      <c r="G19" s="6"/>
      <c r="H19" s="6"/>
      <c r="I19" s="6"/>
      <c r="J19" s="6"/>
      <c r="K19" s="257"/>
      <c r="L19" s="258" t="s">
        <v>210</v>
      </c>
      <c r="M19" s="259">
        <f>AVERAGE(M10:M14)</f>
        <v>1.2145269824515108</v>
      </c>
      <c r="N19" s="260"/>
      <c r="O19" s="259">
        <f>AVERAGE(O10:O14)</f>
        <v>9.3286068746355451</v>
      </c>
      <c r="P19" s="261"/>
      <c r="Q19" s="6"/>
      <c r="R19" s="6"/>
      <c r="S19" s="6"/>
      <c r="T19" s="6"/>
    </row>
    <row r="20" spans="2:20" x14ac:dyDescent="0.2">
      <c r="B20" s="116"/>
      <c r="C20" s="6"/>
      <c r="D20" s="6"/>
      <c r="E20" s="6"/>
      <c r="F20" s="6"/>
      <c r="G20" s="6"/>
      <c r="H20" s="6"/>
      <c r="I20" s="6"/>
      <c r="J20" s="6"/>
      <c r="K20" s="257"/>
      <c r="L20" s="258" t="s">
        <v>211</v>
      </c>
      <c r="M20" s="259">
        <f>MEDIAN(M10:M14)</f>
        <v>1.1320754716981132</v>
      </c>
      <c r="N20" s="260"/>
      <c r="O20" s="259">
        <f>MEDIAN(O10:O14)</f>
        <v>9.4090909090909083</v>
      </c>
      <c r="P20" s="261"/>
      <c r="Q20" s="6"/>
      <c r="R20" s="6"/>
      <c r="S20" s="6"/>
      <c r="T20" s="6"/>
    </row>
    <row r="21" spans="2:20" x14ac:dyDescent="0.2">
      <c r="B21" s="103"/>
      <c r="K21" s="252"/>
      <c r="L21" s="253" t="s">
        <v>214</v>
      </c>
      <c r="M21" s="254">
        <f>QUARTILE(M10:M14,1)</f>
        <v>1.0769230769230769</v>
      </c>
      <c r="N21" s="255"/>
      <c r="O21" s="254">
        <f>QUARTILE(O10:O14,1)</f>
        <v>8.2022471910112351</v>
      </c>
      <c r="P21" s="256"/>
    </row>
    <row r="22" spans="2:20" x14ac:dyDescent="0.2">
      <c r="B22" s="103"/>
      <c r="K22" s="262"/>
      <c r="L22" s="263" t="s">
        <v>212</v>
      </c>
      <c r="M22" s="264">
        <f>MIN(M10:M14)</f>
        <v>1</v>
      </c>
      <c r="N22" s="265"/>
      <c r="O22" s="264">
        <f>MIN(O10:O14)</f>
        <v>7.7777777777777777</v>
      </c>
      <c r="P22" s="26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0FDBC-275A-4366-947B-7FFEBC07AD4C}">
  <sheetPr>
    <tabColor theme="0" tint="-0.499984740745262"/>
  </sheetPr>
  <dimension ref="A2:T36"/>
  <sheetViews>
    <sheetView showGridLines="0" workbookViewId="0">
      <selection activeCell="B5" sqref="B5:K14"/>
    </sheetView>
  </sheetViews>
  <sheetFormatPr defaultColWidth="10.625" defaultRowHeight="12.75" x14ac:dyDescent="0.2"/>
  <cols>
    <col min="1" max="1" width="2.625" style="1" customWidth="1"/>
    <col min="2" max="2" width="40.625" style="1" customWidth="1"/>
    <col min="3" max="16384" width="10.625" style="1"/>
  </cols>
  <sheetData>
    <row r="2" spans="1:20" ht="20.25" customHeight="1" x14ac:dyDescent="0.3">
      <c r="B2" s="78" t="s">
        <v>116</v>
      </c>
    </row>
    <row r="3" spans="1:20" s="76" customFormat="1" x14ac:dyDescent="0.2"/>
    <row r="5" spans="1:20" ht="13.5" thickBot="1" x14ac:dyDescent="0.25">
      <c r="A5" s="1" t="s">
        <v>87</v>
      </c>
      <c r="B5" s="272" t="s">
        <v>284</v>
      </c>
      <c r="C5" s="335"/>
      <c r="D5" s="335"/>
      <c r="E5" s="335"/>
      <c r="F5" s="335"/>
      <c r="G5" s="335"/>
      <c r="H5" s="335"/>
      <c r="I5" s="335"/>
      <c r="J5" s="335"/>
      <c r="K5" s="335"/>
    </row>
    <row r="6" spans="1:20" ht="6" customHeight="1" x14ac:dyDescent="0.2"/>
    <row r="7" spans="1:20" x14ac:dyDescent="0.2">
      <c r="B7" s="96" t="s">
        <v>283</v>
      </c>
      <c r="C7" s="346" t="s">
        <v>124</v>
      </c>
      <c r="D7" s="346" t="s">
        <v>125</v>
      </c>
      <c r="E7" s="346" t="s">
        <v>127</v>
      </c>
      <c r="F7" s="346" t="s">
        <v>110</v>
      </c>
      <c r="G7" s="346" t="s">
        <v>126</v>
      </c>
      <c r="H7" s="346" t="s">
        <v>128</v>
      </c>
      <c r="I7" s="346" t="s">
        <v>36</v>
      </c>
      <c r="J7" s="346" t="s">
        <v>129</v>
      </c>
      <c r="K7" s="346" t="s">
        <v>130</v>
      </c>
      <c r="L7" s="67"/>
      <c r="M7" s="117"/>
      <c r="N7" s="117"/>
      <c r="O7" s="117"/>
      <c r="Q7" s="67"/>
      <c r="R7" s="117"/>
      <c r="S7" s="117"/>
      <c r="T7" s="117"/>
    </row>
    <row r="8" spans="1:20" x14ac:dyDescent="0.2">
      <c r="B8" s="118" t="s">
        <v>285</v>
      </c>
      <c r="C8" s="341" t="s">
        <v>117</v>
      </c>
      <c r="D8" s="342">
        <v>0.75</v>
      </c>
      <c r="E8" s="359">
        <v>385.1</v>
      </c>
      <c r="F8" s="359">
        <v>929</v>
      </c>
      <c r="G8" s="344">
        <f>E8/F8</f>
        <v>0.41453175457481167</v>
      </c>
      <c r="H8" s="344">
        <f>E8/(E8+F8)</f>
        <v>0.29305227912639831</v>
      </c>
      <c r="I8" s="344">
        <v>0.30599999999999999</v>
      </c>
      <c r="J8" s="345">
        <f>D8/(1+(1-I8)*G8)</f>
        <v>0.58244056431238911</v>
      </c>
      <c r="K8" s="345">
        <f>J8*(1+(1-I8)*$G$14)</f>
        <v>0.74365233492051608</v>
      </c>
    </row>
    <row r="9" spans="1:20" x14ac:dyDescent="0.2">
      <c r="B9" s="118" t="s">
        <v>118</v>
      </c>
      <c r="C9" s="341" t="s">
        <v>119</v>
      </c>
      <c r="D9" s="342">
        <v>1.59</v>
      </c>
      <c r="E9" s="359">
        <v>328.2</v>
      </c>
      <c r="F9" s="359">
        <v>335.6</v>
      </c>
      <c r="G9" s="344">
        <f t="shared" ref="G9:G11" si="0">E9/F9</f>
        <v>0.97794994040524419</v>
      </c>
      <c r="H9" s="344">
        <f t="shared" ref="H9:H11" si="1">E9/(E9+F9)</f>
        <v>0.49442603193733053</v>
      </c>
      <c r="I9" s="344">
        <v>8.1000000000000003E-2</v>
      </c>
      <c r="J9" s="345">
        <f t="shared" ref="J9:J11" si="2">D9/(1+(1-I9)*G9)</f>
        <v>0.83739919819941699</v>
      </c>
      <c r="K9" s="345">
        <f t="shared" ref="K9:K11" si="3">J9*(1+(1-I9)*$G$14)</f>
        <v>1.1443252237073416</v>
      </c>
    </row>
    <row r="10" spans="1:20" x14ac:dyDescent="0.2">
      <c r="B10" s="118" t="s">
        <v>120</v>
      </c>
      <c r="C10" s="341" t="s">
        <v>121</v>
      </c>
      <c r="D10" s="343">
        <v>1.29</v>
      </c>
      <c r="E10" s="359">
        <v>33.6</v>
      </c>
      <c r="F10" s="359">
        <v>87.7</v>
      </c>
      <c r="G10" s="344">
        <f t="shared" si="0"/>
        <v>0.38312428734321552</v>
      </c>
      <c r="H10" s="344">
        <f t="shared" si="1"/>
        <v>0.27699917559769166</v>
      </c>
      <c r="I10" s="344">
        <v>0.28100000000000003</v>
      </c>
      <c r="J10" s="345">
        <f t="shared" si="2"/>
        <v>1.0113947633794154</v>
      </c>
      <c r="K10" s="345">
        <f t="shared" si="3"/>
        <v>1.3014196425661124</v>
      </c>
    </row>
    <row r="11" spans="1:20" x14ac:dyDescent="0.2">
      <c r="B11" s="118" t="s">
        <v>122</v>
      </c>
      <c r="C11" s="341" t="s">
        <v>123</v>
      </c>
      <c r="D11" s="342">
        <v>1.77</v>
      </c>
      <c r="E11" s="359">
        <v>205.1</v>
      </c>
      <c r="F11" s="359">
        <v>974.4</v>
      </c>
      <c r="G11" s="344">
        <f t="shared" si="0"/>
        <v>0.21048850574712644</v>
      </c>
      <c r="H11" s="344">
        <f t="shared" si="1"/>
        <v>0.17388724035608308</v>
      </c>
      <c r="I11" s="344">
        <v>0.28199999999999997</v>
      </c>
      <c r="J11" s="345">
        <f t="shared" si="2"/>
        <v>1.5376185584638793</v>
      </c>
      <c r="K11" s="345">
        <f t="shared" si="3"/>
        <v>1.9779287317271956</v>
      </c>
    </row>
    <row r="12" spans="1:20" ht="13.5" thickBot="1" x14ac:dyDescent="0.25">
      <c r="E12" s="360"/>
      <c r="F12" s="360"/>
    </row>
    <row r="13" spans="1:20" x14ac:dyDescent="0.2">
      <c r="B13" s="352" t="s">
        <v>131</v>
      </c>
      <c r="C13" s="353"/>
      <c r="D13" s="354">
        <f>AVERAGE(D8:D11)</f>
        <v>1.35</v>
      </c>
      <c r="E13" s="361">
        <f t="shared" ref="E13:K13" si="4">AVERAGE(E8:E11)</f>
        <v>238</v>
      </c>
      <c r="F13" s="361">
        <f t="shared" si="4"/>
        <v>581.67499999999995</v>
      </c>
      <c r="G13" s="355">
        <f t="shared" si="4"/>
        <v>0.49652362201759942</v>
      </c>
      <c r="H13" s="355">
        <f t="shared" si="4"/>
        <v>0.30959118175437594</v>
      </c>
      <c r="I13" s="356">
        <f t="shared" si="4"/>
        <v>0.23749999999999999</v>
      </c>
      <c r="J13" s="357">
        <f t="shared" si="4"/>
        <v>0.99221327108877522</v>
      </c>
      <c r="K13" s="357">
        <f t="shared" si="4"/>
        <v>1.2918314832302915</v>
      </c>
    </row>
    <row r="14" spans="1:20" ht="13.5" thickBot="1" x14ac:dyDescent="0.25">
      <c r="B14" s="347" t="s">
        <v>132</v>
      </c>
      <c r="C14" s="338"/>
      <c r="D14" s="348">
        <f>MEDIAN(D8:D11)</f>
        <v>1.44</v>
      </c>
      <c r="E14" s="362">
        <f t="shared" ref="E14:K14" si="5">MEDIAN(E8:E11)</f>
        <v>266.64999999999998</v>
      </c>
      <c r="F14" s="362">
        <f t="shared" si="5"/>
        <v>632.29999999999995</v>
      </c>
      <c r="G14" s="349">
        <f t="shared" si="5"/>
        <v>0.3988280209590136</v>
      </c>
      <c r="H14" s="349">
        <f t="shared" si="5"/>
        <v>0.28502572736204501</v>
      </c>
      <c r="I14" s="350">
        <f t="shared" si="5"/>
        <v>0.28149999999999997</v>
      </c>
      <c r="J14" s="351">
        <f t="shared" si="5"/>
        <v>0.92439698078941612</v>
      </c>
      <c r="K14" s="358">
        <f t="shared" si="5"/>
        <v>1.2228724331367271</v>
      </c>
    </row>
    <row r="16" spans="1:20" ht="13.5" thickBot="1" x14ac:dyDescent="0.25">
      <c r="A16" s="1" t="s">
        <v>87</v>
      </c>
      <c r="B16" s="322" t="s">
        <v>282</v>
      </c>
      <c r="C16" s="336"/>
    </row>
    <row r="17" spans="2:6" x14ac:dyDescent="0.2">
      <c r="F17" s="121"/>
    </row>
    <row r="18" spans="2:6" x14ac:dyDescent="0.2">
      <c r="B18" s="271" t="s">
        <v>147</v>
      </c>
      <c r="C18" s="337"/>
    </row>
    <row r="19" spans="2:6" x14ac:dyDescent="0.2">
      <c r="B19" s="1" t="s">
        <v>278</v>
      </c>
      <c r="C19" s="125">
        <f>I14</f>
        <v>0.28149999999999997</v>
      </c>
    </row>
    <row r="20" spans="2:6" x14ac:dyDescent="0.2">
      <c r="B20" s="1" t="s">
        <v>279</v>
      </c>
      <c r="C20" s="42">
        <f>1-C19</f>
        <v>0.71850000000000003</v>
      </c>
    </row>
    <row r="21" spans="2:6" x14ac:dyDescent="0.2">
      <c r="C21" s="42"/>
    </row>
    <row r="22" spans="2:6" x14ac:dyDescent="0.2">
      <c r="B22" s="271" t="s">
        <v>133</v>
      </c>
      <c r="C22" s="337"/>
    </row>
    <row r="23" spans="2:6" x14ac:dyDescent="0.2">
      <c r="B23" s="1" t="s">
        <v>125</v>
      </c>
      <c r="C23" s="124">
        <f>K14</f>
        <v>1.2228724331367271</v>
      </c>
    </row>
    <row r="24" spans="2:6" x14ac:dyDescent="0.2">
      <c r="B24" s="1" t="s">
        <v>134</v>
      </c>
      <c r="C24" s="123">
        <v>0.03</v>
      </c>
    </row>
    <row r="25" spans="2:6" x14ac:dyDescent="0.2">
      <c r="B25" s="1" t="s">
        <v>138</v>
      </c>
      <c r="C25" s="123">
        <v>0.06</v>
      </c>
    </row>
    <row r="26" spans="2:6" ht="13.5" thickBot="1" x14ac:dyDescent="0.25">
      <c r="B26" s="338" t="s">
        <v>135</v>
      </c>
      <c r="C26" s="339">
        <v>4.4200000000000003E-2</v>
      </c>
    </row>
    <row r="27" spans="2:6" ht="13.5" thickBot="1" x14ac:dyDescent="0.25">
      <c r="B27" s="275" t="s">
        <v>133</v>
      </c>
      <c r="C27" s="315">
        <f>C24+(C23*C26)+C25</f>
        <v>0.14405096154464334</v>
      </c>
    </row>
    <row r="29" spans="2:6" x14ac:dyDescent="0.2">
      <c r="B29" s="271" t="s">
        <v>136</v>
      </c>
      <c r="C29" s="337"/>
    </row>
    <row r="30" spans="2:6" x14ac:dyDescent="0.2">
      <c r="B30" s="1" t="s">
        <v>280</v>
      </c>
      <c r="C30" s="123">
        <v>0.05</v>
      </c>
    </row>
    <row r="31" spans="2:6" ht="13.5" thickBot="1" x14ac:dyDescent="0.25">
      <c r="B31" s="1" t="s">
        <v>36</v>
      </c>
      <c r="C31" s="123">
        <v>0.21</v>
      </c>
    </row>
    <row r="32" spans="2:6" ht="13.5" thickBot="1" x14ac:dyDescent="0.25">
      <c r="B32" s="275" t="s">
        <v>136</v>
      </c>
      <c r="C32" s="315">
        <f>C30*(1-C31)</f>
        <v>3.9500000000000007E-2</v>
      </c>
    </row>
    <row r="33" spans="1:6" x14ac:dyDescent="0.2">
      <c r="C33" s="126"/>
    </row>
    <row r="34" spans="1:6" x14ac:dyDescent="0.2">
      <c r="B34" s="271" t="s">
        <v>281</v>
      </c>
      <c r="C34" s="337"/>
      <c r="F34" s="120"/>
    </row>
    <row r="35" spans="1:6" ht="13.5" thickBot="1" x14ac:dyDescent="0.25"/>
    <row r="36" spans="1:6" ht="13.5" thickBot="1" x14ac:dyDescent="0.25">
      <c r="A36" s="1" t="s">
        <v>87</v>
      </c>
      <c r="B36" s="275" t="s">
        <v>91</v>
      </c>
      <c r="C36" s="340">
        <f>(C20*C27)+(C19*C32)</f>
        <v>0.11461986586982624</v>
      </c>
      <c r="F36" s="1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A2E95-2BFD-B543-A2B5-EF1EEC291FAD}">
  <sheetPr>
    <tabColor theme="0" tint="-0.499984740745262"/>
  </sheetPr>
  <dimension ref="A2:L185"/>
  <sheetViews>
    <sheetView showGridLines="0" workbookViewId="0">
      <selection activeCell="F171" sqref="F171"/>
    </sheetView>
  </sheetViews>
  <sheetFormatPr defaultColWidth="8.875" defaultRowHeight="12.75" x14ac:dyDescent="0.2"/>
  <cols>
    <col min="1" max="1" width="2.625" style="1" customWidth="1"/>
    <col min="2" max="2" width="30.5" style="1" customWidth="1"/>
    <col min="3" max="3" width="9.25" style="1" customWidth="1"/>
    <col min="4" max="4" width="9.25" style="1" bestFit="1" customWidth="1"/>
    <col min="5" max="16384" width="8.875" style="1"/>
  </cols>
  <sheetData>
    <row r="2" spans="1:12" ht="18" x14ac:dyDescent="0.25">
      <c r="B2" s="77" t="s">
        <v>86</v>
      </c>
    </row>
    <row r="3" spans="1:12" s="76" customFormat="1" x14ac:dyDescent="0.2"/>
    <row r="4" spans="1:12" x14ac:dyDescent="0.2">
      <c r="B4" s="25" t="s">
        <v>180</v>
      </c>
    </row>
    <row r="6" spans="1:12" x14ac:dyDescent="0.2">
      <c r="A6" s="1" t="s">
        <v>43</v>
      </c>
      <c r="B6" s="2" t="s">
        <v>0</v>
      </c>
      <c r="C6" s="2"/>
      <c r="D6" s="2"/>
      <c r="E6" s="2"/>
      <c r="F6" s="2"/>
      <c r="G6" s="2"/>
      <c r="H6" s="2"/>
      <c r="I6" s="2"/>
      <c r="J6" s="2"/>
      <c r="K6" s="2"/>
    </row>
    <row r="7" spans="1:12" x14ac:dyDescent="0.2">
      <c r="B7" s="13"/>
      <c r="C7" s="14"/>
      <c r="D7" s="14">
        <f t="shared" ref="D7:K7" si="0">D26</f>
        <v>2021</v>
      </c>
      <c r="E7" s="14">
        <f t="shared" si="0"/>
        <v>2022</v>
      </c>
      <c r="F7" s="331">
        <f t="shared" si="0"/>
        <v>2023</v>
      </c>
      <c r="G7" s="15">
        <f t="shared" si="0"/>
        <v>2024</v>
      </c>
      <c r="H7" s="15">
        <f t="shared" si="0"/>
        <v>2025</v>
      </c>
      <c r="I7" s="15">
        <f t="shared" si="0"/>
        <v>2026</v>
      </c>
      <c r="J7" s="15">
        <f t="shared" si="0"/>
        <v>2027</v>
      </c>
      <c r="K7" s="15">
        <f t="shared" si="0"/>
        <v>2028</v>
      </c>
    </row>
    <row r="8" spans="1:12" x14ac:dyDescent="0.2">
      <c r="B8" s="1" t="s">
        <v>3</v>
      </c>
      <c r="C8" s="4"/>
      <c r="D8" s="4">
        <f>C79+(C79*D79)</f>
        <v>80667.5</v>
      </c>
      <c r="E8" s="4">
        <f t="shared" ref="E8:K8" si="1">D8+(D8*E79)</f>
        <v>121001.25</v>
      </c>
      <c r="F8" s="4">
        <f t="shared" si="1"/>
        <v>139151.4375</v>
      </c>
      <c r="G8" s="4">
        <f t="shared" si="1"/>
        <v>150283.55249999999</v>
      </c>
      <c r="H8" s="4">
        <f t="shared" si="1"/>
        <v>162306.23669999998</v>
      </c>
      <c r="I8" s="4">
        <f t="shared" si="1"/>
        <v>175290.73563599997</v>
      </c>
      <c r="J8" s="4">
        <f t="shared" si="1"/>
        <v>189313.99448687996</v>
      </c>
      <c r="K8" s="4">
        <f t="shared" si="1"/>
        <v>204459.11404583036</v>
      </c>
    </row>
    <row r="9" spans="1:12" x14ac:dyDescent="0.2">
      <c r="B9" s="37" t="s">
        <v>10</v>
      </c>
      <c r="C9" s="38"/>
      <c r="D9" s="38">
        <f t="shared" ref="D9:K9" si="2">-D8*D81</f>
        <v>-54853.9</v>
      </c>
      <c r="E9" s="38">
        <f t="shared" si="2"/>
        <v>-82280.850000000006</v>
      </c>
      <c r="F9" s="38">
        <f t="shared" si="2"/>
        <v>-94622.977500000008</v>
      </c>
      <c r="G9" s="38">
        <f t="shared" si="2"/>
        <v>-102192.81570000001</v>
      </c>
      <c r="H9" s="38">
        <f t="shared" si="2"/>
        <v>-110368.24095599999</v>
      </c>
      <c r="I9" s="38">
        <f t="shared" si="2"/>
        <v>-119197.70023247998</v>
      </c>
      <c r="J9" s="38">
        <f t="shared" si="2"/>
        <v>-128733.51625107838</v>
      </c>
      <c r="K9" s="38">
        <f t="shared" si="2"/>
        <v>-139032.19755116466</v>
      </c>
    </row>
    <row r="10" spans="1:12" x14ac:dyDescent="0.2">
      <c r="B10" s="6" t="s">
        <v>12</v>
      </c>
      <c r="C10" s="7"/>
      <c r="D10" s="7">
        <f t="shared" ref="D10:K10" si="3">SUM(D8:D9)</f>
        <v>25813.599999999999</v>
      </c>
      <c r="E10" s="7">
        <f t="shared" si="3"/>
        <v>38720.399999999994</v>
      </c>
      <c r="F10" s="7">
        <f t="shared" si="3"/>
        <v>44528.459999999992</v>
      </c>
      <c r="G10" s="7">
        <f t="shared" si="3"/>
        <v>48090.736799999984</v>
      </c>
      <c r="H10" s="7">
        <f t="shared" si="3"/>
        <v>51937.995743999985</v>
      </c>
      <c r="I10" s="7">
        <f t="shared" si="3"/>
        <v>56093.035403519985</v>
      </c>
      <c r="J10" s="7">
        <f t="shared" si="3"/>
        <v>60580.47823580158</v>
      </c>
      <c r="K10" s="7">
        <f t="shared" si="3"/>
        <v>65426.916494665697</v>
      </c>
    </row>
    <row r="11" spans="1:12" x14ac:dyDescent="0.2">
      <c r="B11" s="20" t="s">
        <v>64</v>
      </c>
      <c r="C11" s="18"/>
      <c r="D11" s="19">
        <f t="shared" ref="D11:K11" si="4">D10/D8</f>
        <v>0.32</v>
      </c>
      <c r="E11" s="19">
        <f t="shared" si="4"/>
        <v>0.31999999999999995</v>
      </c>
      <c r="F11" s="19">
        <f t="shared" si="4"/>
        <v>0.31999999999999995</v>
      </c>
      <c r="G11" s="19">
        <f t="shared" si="4"/>
        <v>0.3199999999999999</v>
      </c>
      <c r="H11" s="19">
        <f t="shared" si="4"/>
        <v>0.31999999999999995</v>
      </c>
      <c r="I11" s="19">
        <f t="shared" si="4"/>
        <v>0.31999999999999995</v>
      </c>
      <c r="J11" s="19">
        <f t="shared" si="4"/>
        <v>0.31999999999999995</v>
      </c>
      <c r="K11" s="19">
        <f t="shared" si="4"/>
        <v>0.3199999999999999</v>
      </c>
      <c r="L11" s="19"/>
    </row>
    <row r="12" spans="1:12" x14ac:dyDescent="0.2">
      <c r="B12" s="1" t="s">
        <v>11</v>
      </c>
      <c r="C12" s="4"/>
      <c r="D12" s="4">
        <f t="shared" ref="D12:K12" si="5">-D8*D82</f>
        <v>-14520.15</v>
      </c>
      <c r="E12" s="4">
        <f t="shared" si="5"/>
        <v>-21780.224999999999</v>
      </c>
      <c r="F12" s="4">
        <f t="shared" si="5"/>
        <v>-25047.258750000001</v>
      </c>
      <c r="G12" s="4">
        <f t="shared" si="5"/>
        <v>-27051.039449999997</v>
      </c>
      <c r="H12" s="4">
        <f t="shared" si="5"/>
        <v>-29215.122605999994</v>
      </c>
      <c r="I12" s="4">
        <f t="shared" si="5"/>
        <v>-31552.332414479992</v>
      </c>
      <c r="J12" s="4">
        <f t="shared" si="5"/>
        <v>-34076.519007638395</v>
      </c>
      <c r="K12" s="4">
        <f t="shared" si="5"/>
        <v>-36802.64052824946</v>
      </c>
    </row>
    <row r="13" spans="1:12" x14ac:dyDescent="0.2">
      <c r="B13" s="37" t="s">
        <v>66</v>
      </c>
      <c r="C13" s="39"/>
      <c r="D13" s="38">
        <f>-D118</f>
        <v>-465.00125000000003</v>
      </c>
      <c r="E13" s="38">
        <f t="shared" ref="E13:K13" si="6">-E118</f>
        <v>-646.50312499999995</v>
      </c>
      <c r="F13" s="38">
        <f t="shared" si="6"/>
        <v>-855.23028124999996</v>
      </c>
      <c r="G13" s="38">
        <f t="shared" si="6"/>
        <v>-1080.6556099999998</v>
      </c>
      <c r="H13" s="38">
        <f t="shared" si="6"/>
        <v>-1324.1149650499999</v>
      </c>
      <c r="I13" s="38">
        <f t="shared" si="6"/>
        <v>-1587.0510685039999</v>
      </c>
      <c r="J13" s="38">
        <f t="shared" si="6"/>
        <v>-1871.0220602343197</v>
      </c>
      <c r="K13" s="38">
        <f t="shared" si="6"/>
        <v>-2177.7107313030651</v>
      </c>
    </row>
    <row r="14" spans="1:12" x14ac:dyDescent="0.2">
      <c r="B14" s="6" t="s">
        <v>14</v>
      </c>
      <c r="C14" s="7"/>
      <c r="D14" s="7">
        <f t="shared" ref="D14:K14" si="7">D10+D12+D13</f>
        <v>10828.44875</v>
      </c>
      <c r="E14" s="7">
        <f t="shared" si="7"/>
        <v>16293.671874999996</v>
      </c>
      <c r="F14" s="7">
        <f t="shared" si="7"/>
        <v>18625.970968749993</v>
      </c>
      <c r="G14" s="7">
        <f t="shared" si="7"/>
        <v>19959.041739999986</v>
      </c>
      <c r="H14" s="7">
        <f t="shared" si="7"/>
        <v>21398.758172949991</v>
      </c>
      <c r="I14" s="7">
        <f t="shared" si="7"/>
        <v>22953.651920535995</v>
      </c>
      <c r="J14" s="7">
        <f t="shared" si="7"/>
        <v>24632.937167928867</v>
      </c>
      <c r="K14" s="7">
        <f t="shared" si="7"/>
        <v>26446.565235113172</v>
      </c>
    </row>
    <row r="15" spans="1:12" x14ac:dyDescent="0.2">
      <c r="B15" s="20" t="s">
        <v>65</v>
      </c>
      <c r="C15" s="7"/>
      <c r="D15" s="19">
        <f t="shared" ref="D15:K15" si="8">D14/D8</f>
        <v>0.1342355812439954</v>
      </c>
      <c r="E15" s="19">
        <f t="shared" si="8"/>
        <v>0.13465705416266358</v>
      </c>
      <c r="F15" s="19">
        <f t="shared" si="8"/>
        <v>0.13385396014144657</v>
      </c>
      <c r="G15" s="19">
        <f t="shared" si="8"/>
        <v>0.13280922235319123</v>
      </c>
      <c r="H15" s="19">
        <f t="shared" si="8"/>
        <v>0.13184187254925117</v>
      </c>
      <c r="I15" s="19">
        <f t="shared" si="8"/>
        <v>0.13094617828634372</v>
      </c>
      <c r="J15" s="19">
        <f t="shared" si="8"/>
        <v>0.13011683174661451</v>
      </c>
      <c r="K15" s="19">
        <f t="shared" si="8"/>
        <v>0.1293489182839023</v>
      </c>
    </row>
    <row r="16" spans="1:12" x14ac:dyDescent="0.2">
      <c r="B16" s="37" t="s">
        <v>15</v>
      </c>
      <c r="C16" s="39"/>
      <c r="D16" s="38">
        <f>-D144</f>
        <v>-1982.5989370780444</v>
      </c>
      <c r="E16" s="38">
        <f t="shared" ref="E16:K16" si="9">-E144</f>
        <v>-1532.7418050661618</v>
      </c>
      <c r="F16" s="38">
        <f t="shared" si="9"/>
        <v>-3803.6439594735066</v>
      </c>
      <c r="G16" s="38">
        <f t="shared" si="9"/>
        <v>-2958.7853560035014</v>
      </c>
      <c r="H16" s="38">
        <f t="shared" si="9"/>
        <v>-2038.9337794331166</v>
      </c>
      <c r="I16" s="38">
        <f t="shared" si="9"/>
        <v>-1615.4311039484287</v>
      </c>
      <c r="J16" s="38">
        <f t="shared" si="9"/>
        <v>-1138.9905940281546</v>
      </c>
      <c r="K16" s="38">
        <f t="shared" si="9"/>
        <v>-602.99502036784634</v>
      </c>
    </row>
    <row r="17" spans="1:11" x14ac:dyDescent="0.2">
      <c r="B17" s="6" t="s">
        <v>16</v>
      </c>
      <c r="C17" s="7"/>
      <c r="D17" s="7">
        <f>D14+D16</f>
        <v>8845.8498129219552</v>
      </c>
      <c r="E17" s="7">
        <f t="shared" ref="E17:K17" si="10">E14+E16</f>
        <v>14760.930069933835</v>
      </c>
      <c r="F17" s="7">
        <f t="shared" si="10"/>
        <v>14822.327009276487</v>
      </c>
      <c r="G17" s="7">
        <f t="shared" si="10"/>
        <v>17000.256383996486</v>
      </c>
      <c r="H17" s="7">
        <f t="shared" si="10"/>
        <v>19359.824393516876</v>
      </c>
      <c r="I17" s="7">
        <f t="shared" si="10"/>
        <v>21338.220816587567</v>
      </c>
      <c r="J17" s="7">
        <f t="shared" si="10"/>
        <v>23493.946573900714</v>
      </c>
      <c r="K17" s="7">
        <f t="shared" si="10"/>
        <v>25843.570214745327</v>
      </c>
    </row>
    <row r="18" spans="1:11" x14ac:dyDescent="0.2">
      <c r="B18" s="1" t="s">
        <v>17</v>
      </c>
      <c r="C18" s="4"/>
      <c r="D18" s="4">
        <f t="shared" ref="D18:K18" si="11">-D17*D84</f>
        <v>-1857.6284607136106</v>
      </c>
      <c r="E18" s="4">
        <f t="shared" si="11"/>
        <v>-3099.795314686105</v>
      </c>
      <c r="F18" s="4">
        <f t="shared" si="11"/>
        <v>-3112.6886719480622</v>
      </c>
      <c r="G18" s="4">
        <f t="shared" si="11"/>
        <v>-3570.053840639262</v>
      </c>
      <c r="H18" s="4">
        <f t="shared" si="11"/>
        <v>-4065.563122638544</v>
      </c>
      <c r="I18" s="4">
        <f t="shared" si="11"/>
        <v>-4481.0263714833891</v>
      </c>
      <c r="J18" s="4">
        <f t="shared" si="11"/>
        <v>-4933.72878051915</v>
      </c>
      <c r="K18" s="4">
        <f t="shared" si="11"/>
        <v>-5427.149745096518</v>
      </c>
    </row>
    <row r="19" spans="1:11" x14ac:dyDescent="0.2">
      <c r="B19" s="21" t="s">
        <v>18</v>
      </c>
      <c r="C19" s="22"/>
      <c r="D19" s="22">
        <f>D17+D18</f>
        <v>6988.2213522083448</v>
      </c>
      <c r="E19" s="22">
        <f t="shared" ref="E19:K19" si="12">E17+E18</f>
        <v>11661.134755247729</v>
      </c>
      <c r="F19" s="22">
        <f t="shared" si="12"/>
        <v>11709.638337328424</v>
      </c>
      <c r="G19" s="22">
        <f t="shared" si="12"/>
        <v>13430.202543357223</v>
      </c>
      <c r="H19" s="22">
        <f t="shared" si="12"/>
        <v>15294.261270878331</v>
      </c>
      <c r="I19" s="22">
        <f t="shared" si="12"/>
        <v>16857.194445104178</v>
      </c>
      <c r="J19" s="22">
        <f t="shared" si="12"/>
        <v>18560.217793381562</v>
      </c>
      <c r="K19" s="22">
        <f t="shared" si="12"/>
        <v>20416.420469648809</v>
      </c>
    </row>
    <row r="20" spans="1:11" x14ac:dyDescent="0.2">
      <c r="B20" s="20" t="s">
        <v>67</v>
      </c>
      <c r="D20" s="19">
        <f t="shared" ref="D20:K20" si="13">D19/D8</f>
        <v>8.6629948271712207E-2</v>
      </c>
      <c r="E20" s="19">
        <f t="shared" si="13"/>
        <v>9.6372018927471645E-2</v>
      </c>
      <c r="F20" s="19">
        <f t="shared" si="13"/>
        <v>8.4150322466689742E-2</v>
      </c>
      <c r="G20" s="19">
        <f t="shared" si="13"/>
        <v>8.9365751074837171E-2</v>
      </c>
      <c r="H20" s="19">
        <f t="shared" si="13"/>
        <v>9.4230890826133812E-2</v>
      </c>
      <c r="I20" s="19">
        <f t="shared" si="13"/>
        <v>9.6167058595207161E-2</v>
      </c>
      <c r="J20" s="19">
        <f t="shared" si="13"/>
        <v>9.8039333244684362E-2</v>
      </c>
      <c r="K20" s="19">
        <f t="shared" si="13"/>
        <v>9.985576121137052E-2</v>
      </c>
    </row>
    <row r="21" spans="1:11" s="20" customFormat="1" x14ac:dyDescent="0.2"/>
    <row r="22" spans="1:11" x14ac:dyDescent="0.2">
      <c r="B22" s="21" t="s">
        <v>63</v>
      </c>
      <c r="C22" s="22"/>
      <c r="D22" s="22">
        <f>D19-D13-D18-D16</f>
        <v>11293.45</v>
      </c>
      <c r="E22" s="22">
        <f t="shared" ref="E22:K22" si="14">E19-E13-E18-E16</f>
        <v>16940.174999999996</v>
      </c>
      <c r="F22" s="22">
        <f t="shared" si="14"/>
        <v>19481.201249999995</v>
      </c>
      <c r="G22" s="22">
        <f t="shared" si="14"/>
        <v>21039.697349999984</v>
      </c>
      <c r="H22" s="22">
        <f t="shared" si="14"/>
        <v>22722.873137999992</v>
      </c>
      <c r="I22" s="22">
        <f t="shared" si="14"/>
        <v>24540.702989039994</v>
      </c>
      <c r="J22" s="22">
        <f t="shared" si="14"/>
        <v>26503.959228163185</v>
      </c>
      <c r="K22" s="22">
        <f t="shared" si="14"/>
        <v>28624.275966416237</v>
      </c>
    </row>
    <row r="25" spans="1:11" x14ac:dyDescent="0.2">
      <c r="A25" s="1" t="s">
        <v>43</v>
      </c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2">
      <c r="B26" s="13"/>
      <c r="C26" s="14">
        <v>2020</v>
      </c>
      <c r="D26" s="14">
        <f>C26+1</f>
        <v>2021</v>
      </c>
      <c r="E26" s="14">
        <f>D26+1</f>
        <v>2022</v>
      </c>
      <c r="F26" s="331">
        <f>E26+1</f>
        <v>2023</v>
      </c>
      <c r="G26" s="15">
        <f>F26+1</f>
        <v>2024</v>
      </c>
      <c r="H26" s="15">
        <f t="shared" ref="H26:K26" si="15">G26+1</f>
        <v>2025</v>
      </c>
      <c r="I26" s="15">
        <f t="shared" si="15"/>
        <v>2026</v>
      </c>
      <c r="J26" s="15">
        <f t="shared" si="15"/>
        <v>2027</v>
      </c>
      <c r="K26" s="15">
        <f t="shared" si="15"/>
        <v>2028</v>
      </c>
    </row>
    <row r="27" spans="1:11" x14ac:dyDescent="0.2">
      <c r="B27" s="1" t="s">
        <v>19</v>
      </c>
      <c r="C27" s="134">
        <v>33501.52210889299</v>
      </c>
      <c r="D27" s="4">
        <f>D74</f>
        <v>19724.858689461951</v>
      </c>
      <c r="E27" s="4">
        <f t="shared" ref="E27:K27" si="16">E74</f>
        <v>16608.893245906445</v>
      </c>
      <c r="F27" s="4">
        <f t="shared" si="16"/>
        <v>35429.562982674324</v>
      </c>
      <c r="G27" s="4">
        <f t="shared" si="16"/>
        <v>24009.635572431645</v>
      </c>
      <c r="H27" s="4">
        <f t="shared" si="16"/>
        <v>20884.407512439808</v>
      </c>
      <c r="I27" s="4">
        <f t="shared" si="16"/>
        <v>17581.585605235254</v>
      </c>
      <c r="J27" s="4">
        <f t="shared" si="16"/>
        <v>14070.915826666838</v>
      </c>
      <c r="K27" s="4">
        <f t="shared" si="16"/>
        <v>10317.718016104591</v>
      </c>
    </row>
    <row r="28" spans="1:11" x14ac:dyDescent="0.2">
      <c r="B28" s="1" t="s">
        <v>20</v>
      </c>
      <c r="C28" s="5">
        <v>4000</v>
      </c>
      <c r="D28" s="4">
        <f t="shared" ref="D28:K29" si="17">D$8*D88</f>
        <v>9680.1</v>
      </c>
      <c r="E28" s="4">
        <f t="shared" si="17"/>
        <v>14520.15</v>
      </c>
      <c r="F28" s="4">
        <f t="shared" si="17"/>
        <v>16698.172500000001</v>
      </c>
      <c r="G28" s="4">
        <f t="shared" si="17"/>
        <v>18034.026299999998</v>
      </c>
      <c r="H28" s="4">
        <f t="shared" si="17"/>
        <v>19476.748403999998</v>
      </c>
      <c r="I28" s="4">
        <f t="shared" si="17"/>
        <v>21034.888276319994</v>
      </c>
      <c r="J28" s="4">
        <f t="shared" si="17"/>
        <v>22717.679338425594</v>
      </c>
      <c r="K28" s="4">
        <f t="shared" si="17"/>
        <v>24535.093685499643</v>
      </c>
    </row>
    <row r="29" spans="1:11" x14ac:dyDescent="0.2">
      <c r="B29" s="1" t="s">
        <v>56</v>
      </c>
      <c r="C29" s="5">
        <v>735</v>
      </c>
      <c r="D29" s="4">
        <f t="shared" si="17"/>
        <v>806.67500000000007</v>
      </c>
      <c r="E29" s="4">
        <f t="shared" si="17"/>
        <v>1210.0125</v>
      </c>
      <c r="F29" s="4">
        <f t="shared" si="17"/>
        <v>1391.514375</v>
      </c>
      <c r="G29" s="4">
        <f t="shared" si="17"/>
        <v>1502.835525</v>
      </c>
      <c r="H29" s="4">
        <f t="shared" si="17"/>
        <v>1623.0623669999998</v>
      </c>
      <c r="I29" s="4">
        <f t="shared" si="17"/>
        <v>1752.9073563599998</v>
      </c>
      <c r="J29" s="4">
        <f t="shared" si="17"/>
        <v>1893.1399448687996</v>
      </c>
      <c r="K29" s="4">
        <f t="shared" si="17"/>
        <v>2044.5911404583037</v>
      </c>
    </row>
    <row r="30" spans="1:11" x14ac:dyDescent="0.2">
      <c r="B30" s="37" t="s">
        <v>4</v>
      </c>
      <c r="C30" s="39">
        <v>9000</v>
      </c>
      <c r="D30" s="38">
        <f t="shared" ref="D30:K30" si="18">-D$9*D90</f>
        <v>10970.78</v>
      </c>
      <c r="E30" s="38">
        <f t="shared" si="18"/>
        <v>16456.170000000002</v>
      </c>
      <c r="F30" s="38">
        <f t="shared" si="18"/>
        <v>18924.595500000003</v>
      </c>
      <c r="G30" s="38">
        <f t="shared" si="18"/>
        <v>20438.563140000002</v>
      </c>
      <c r="H30" s="38">
        <f t="shared" si="18"/>
        <v>22073.648191200002</v>
      </c>
      <c r="I30" s="38">
        <f t="shared" si="18"/>
        <v>23839.540046495997</v>
      </c>
      <c r="J30" s="38">
        <f t="shared" si="18"/>
        <v>25746.70325021568</v>
      </c>
      <c r="K30" s="38">
        <f t="shared" si="18"/>
        <v>27806.439510232933</v>
      </c>
    </row>
    <row r="31" spans="1:11" x14ac:dyDescent="0.2">
      <c r="B31" s="6" t="s">
        <v>21</v>
      </c>
      <c r="C31" s="7">
        <f>SUM(C27:C30)</f>
        <v>47236.52210889299</v>
      </c>
      <c r="D31" s="7">
        <f t="shared" ref="D31:K31" si="19">SUM(D27:D30)</f>
        <v>41182.413689461951</v>
      </c>
      <c r="E31" s="7">
        <f t="shared" si="19"/>
        <v>48795.225745906449</v>
      </c>
      <c r="F31" s="7">
        <f t="shared" si="19"/>
        <v>72443.84535767432</v>
      </c>
      <c r="G31" s="7">
        <f t="shared" si="19"/>
        <v>63985.060537431651</v>
      </c>
      <c r="H31" s="7">
        <f t="shared" si="19"/>
        <v>64057.866474639806</v>
      </c>
      <c r="I31" s="7">
        <f t="shared" si="19"/>
        <v>64208.921284411248</v>
      </c>
      <c r="J31" s="7">
        <f t="shared" si="19"/>
        <v>64428.438360176915</v>
      </c>
      <c r="K31" s="7">
        <f t="shared" si="19"/>
        <v>64703.842352295469</v>
      </c>
    </row>
    <row r="32" spans="1:11" x14ac:dyDescent="0.2">
      <c r="B32" s="1" t="s">
        <v>79</v>
      </c>
      <c r="C32" s="5">
        <v>3440</v>
      </c>
      <c r="D32" s="4">
        <f>D123</f>
        <v>4185.0112499999996</v>
      </c>
      <c r="E32" s="4">
        <f t="shared" ref="E32:K32" si="20">E123</f>
        <v>5353.5268749999996</v>
      </c>
      <c r="F32" s="4">
        <f t="shared" si="20"/>
        <v>6585.5681562499994</v>
      </c>
      <c r="G32" s="4">
        <f t="shared" si="20"/>
        <v>7759.1658337499994</v>
      </c>
      <c r="H32" s="4">
        <f t="shared" si="20"/>
        <v>8869.6444191999999</v>
      </c>
      <c r="I32" s="4">
        <f t="shared" si="20"/>
        <v>9911.9543852360002</v>
      </c>
      <c r="J32" s="4">
        <f t="shared" si="20"/>
        <v>10880.642242304881</v>
      </c>
      <c r="K32" s="4">
        <f t="shared" si="20"/>
        <v>11769.818221689271</v>
      </c>
    </row>
    <row r="33" spans="2:11" x14ac:dyDescent="0.2">
      <c r="B33" s="21" t="s">
        <v>22</v>
      </c>
      <c r="C33" s="22">
        <f>SUM(C31:C32)</f>
        <v>50676.52210889299</v>
      </c>
      <c r="D33" s="22">
        <f t="shared" ref="D33:K33" si="21">SUM(D31:D32)</f>
        <v>45367.424939461955</v>
      </c>
      <c r="E33" s="22">
        <f t="shared" si="21"/>
        <v>54148.752620906453</v>
      </c>
      <c r="F33" s="22">
        <f t="shared" si="21"/>
        <v>79029.413513924315</v>
      </c>
      <c r="G33" s="22">
        <f t="shared" si="21"/>
        <v>71744.226371181649</v>
      </c>
      <c r="H33" s="22">
        <f t="shared" si="21"/>
        <v>72927.510893839804</v>
      </c>
      <c r="I33" s="22">
        <f t="shared" si="21"/>
        <v>74120.875669647241</v>
      </c>
      <c r="J33" s="22">
        <f t="shared" si="21"/>
        <v>75309.080602481801</v>
      </c>
      <c r="K33" s="22">
        <f t="shared" si="21"/>
        <v>76473.660573984744</v>
      </c>
    </row>
    <row r="35" spans="2:11" x14ac:dyDescent="0.2">
      <c r="B35" s="1" t="s">
        <v>23</v>
      </c>
      <c r="C35" s="5">
        <v>2570</v>
      </c>
      <c r="D35" s="4">
        <f t="shared" ref="D35:K37" si="22">-D$9*D91</f>
        <v>3016.9645</v>
      </c>
      <c r="E35" s="4">
        <f t="shared" si="22"/>
        <v>4525.4467500000001</v>
      </c>
      <c r="F35" s="4">
        <f t="shared" si="22"/>
        <v>5204.2637625000007</v>
      </c>
      <c r="G35" s="4">
        <f t="shared" si="22"/>
        <v>5620.6048635000006</v>
      </c>
      <c r="H35" s="4">
        <f t="shared" si="22"/>
        <v>6070.2532525799998</v>
      </c>
      <c r="I35" s="4">
        <f t="shared" si="22"/>
        <v>6555.8735127863993</v>
      </c>
      <c r="J35" s="4">
        <f t="shared" si="22"/>
        <v>7080.3433938093112</v>
      </c>
      <c r="K35" s="4">
        <f t="shared" si="22"/>
        <v>7646.7708653140562</v>
      </c>
    </row>
    <row r="36" spans="2:11" x14ac:dyDescent="0.2">
      <c r="B36" s="1" t="s">
        <v>57</v>
      </c>
      <c r="C36" s="5">
        <v>605</v>
      </c>
      <c r="D36" s="4">
        <f t="shared" si="22"/>
        <v>1097.078</v>
      </c>
      <c r="E36" s="4">
        <f t="shared" si="22"/>
        <v>1645.6170000000002</v>
      </c>
      <c r="F36" s="4">
        <f t="shared" si="22"/>
        <v>1892.4595500000003</v>
      </c>
      <c r="G36" s="4">
        <f t="shared" si="22"/>
        <v>2043.8563140000001</v>
      </c>
      <c r="H36" s="4">
        <f t="shared" si="22"/>
        <v>2207.36481912</v>
      </c>
      <c r="I36" s="4">
        <f t="shared" si="22"/>
        <v>2383.9540046495999</v>
      </c>
      <c r="J36" s="4">
        <f t="shared" si="22"/>
        <v>2574.6703250215678</v>
      </c>
      <c r="K36" s="4">
        <f t="shared" si="22"/>
        <v>2780.6439510232931</v>
      </c>
    </row>
    <row r="37" spans="2:11" x14ac:dyDescent="0.2">
      <c r="B37" s="37" t="s">
        <v>58</v>
      </c>
      <c r="C37" s="39">
        <v>12000</v>
      </c>
      <c r="D37" s="38">
        <f t="shared" si="22"/>
        <v>6033.9290000000001</v>
      </c>
      <c r="E37" s="38">
        <f t="shared" si="22"/>
        <v>9050.8935000000001</v>
      </c>
      <c r="F37" s="38">
        <f t="shared" si="22"/>
        <v>10408.527525000001</v>
      </c>
      <c r="G37" s="38">
        <f t="shared" si="22"/>
        <v>11241.209727000001</v>
      </c>
      <c r="H37" s="38">
        <f t="shared" si="22"/>
        <v>12140.50650516</v>
      </c>
      <c r="I37" s="38">
        <f t="shared" si="22"/>
        <v>13111.747025572799</v>
      </c>
      <c r="J37" s="38">
        <f t="shared" si="22"/>
        <v>14160.686787618622</v>
      </c>
      <c r="K37" s="38">
        <f t="shared" si="22"/>
        <v>15293.541730628112</v>
      </c>
    </row>
    <row r="38" spans="2:11" x14ac:dyDescent="0.2">
      <c r="B38" s="6" t="s">
        <v>24</v>
      </c>
      <c r="C38" s="7">
        <f t="shared" ref="C38:K38" si="23">SUM(C35:C37)</f>
        <v>15175</v>
      </c>
      <c r="D38" s="7">
        <f t="shared" si="23"/>
        <v>10147.9715</v>
      </c>
      <c r="E38" s="7">
        <f t="shared" si="23"/>
        <v>15221.957249999999</v>
      </c>
      <c r="F38" s="7">
        <f t="shared" si="23"/>
        <v>17505.250837500003</v>
      </c>
      <c r="G38" s="7">
        <f t="shared" si="23"/>
        <v>18905.670904500003</v>
      </c>
      <c r="H38" s="7">
        <f t="shared" si="23"/>
        <v>20418.124576859998</v>
      </c>
      <c r="I38" s="7">
        <f t="shared" si="23"/>
        <v>22051.574543008799</v>
      </c>
      <c r="J38" s="7">
        <f t="shared" si="23"/>
        <v>23815.700506449502</v>
      </c>
      <c r="K38" s="7">
        <f t="shared" si="23"/>
        <v>25720.956546965463</v>
      </c>
    </row>
    <row r="40" spans="2:11" x14ac:dyDescent="0.2">
      <c r="B40" s="37" t="s">
        <v>25</v>
      </c>
      <c r="C40" s="38">
        <f t="shared" ref="C40" si="24">C143</f>
        <v>30501.52210889299</v>
      </c>
      <c r="D40" s="38">
        <f>D143</f>
        <v>23580.643154864025</v>
      </c>
      <c r="E40" s="38">
        <f t="shared" ref="E40:K40" si="25">E143</f>
        <v>16209.907068823179</v>
      </c>
      <c r="F40" s="38">
        <f t="shared" si="25"/>
        <v>27683.117953879057</v>
      </c>
      <c r="G40" s="38">
        <f t="shared" si="25"/>
        <v>16311.470235464933</v>
      </c>
      <c r="H40" s="38">
        <f t="shared" si="25"/>
        <v>12923.44883158743</v>
      </c>
      <c r="I40" s="38">
        <f t="shared" si="25"/>
        <v>9111.9247522252372</v>
      </c>
      <c r="J40" s="38">
        <f t="shared" si="25"/>
        <v>4823.9601629427707</v>
      </c>
      <c r="K40" s="38">
        <f t="shared" si="25"/>
        <v>0</v>
      </c>
    </row>
    <row r="41" spans="2:11" x14ac:dyDescent="0.2">
      <c r="B41" s="40" t="s">
        <v>26</v>
      </c>
      <c r="C41" s="41">
        <f>C38+C40</f>
        <v>45676.52210889299</v>
      </c>
      <c r="D41" s="41">
        <f t="shared" ref="D41:K41" si="26">D38+D40</f>
        <v>33728.614654864024</v>
      </c>
      <c r="E41" s="41">
        <f t="shared" si="26"/>
        <v>31431.86431882318</v>
      </c>
      <c r="F41" s="41">
        <f t="shared" si="26"/>
        <v>45188.368791379064</v>
      </c>
      <c r="G41" s="41">
        <f t="shared" si="26"/>
        <v>35217.141139964937</v>
      </c>
      <c r="H41" s="41">
        <f t="shared" si="26"/>
        <v>33341.573408447424</v>
      </c>
      <c r="I41" s="41">
        <f t="shared" si="26"/>
        <v>31163.499295234036</v>
      </c>
      <c r="J41" s="41">
        <f t="shared" si="26"/>
        <v>28639.660669392273</v>
      </c>
      <c r="K41" s="41">
        <f t="shared" si="26"/>
        <v>25720.956546965463</v>
      </c>
    </row>
    <row r="43" spans="2:11" x14ac:dyDescent="0.2">
      <c r="B43" s="1" t="s">
        <v>27</v>
      </c>
      <c r="C43" s="5">
        <v>5000</v>
      </c>
      <c r="D43" s="4">
        <v>5000</v>
      </c>
      <c r="E43" s="4">
        <f t="shared" ref="E43:K43" si="27">D43</f>
        <v>5000</v>
      </c>
      <c r="F43" s="4">
        <f t="shared" si="27"/>
        <v>5000</v>
      </c>
      <c r="G43" s="4">
        <f t="shared" si="27"/>
        <v>5000</v>
      </c>
      <c r="H43" s="4">
        <f t="shared" si="27"/>
        <v>5000</v>
      </c>
      <c r="I43" s="4">
        <f t="shared" si="27"/>
        <v>5000</v>
      </c>
      <c r="J43" s="4">
        <f t="shared" si="27"/>
        <v>5000</v>
      </c>
      <c r="K43" s="4">
        <f t="shared" si="27"/>
        <v>5000</v>
      </c>
    </row>
    <row r="44" spans="2:11" x14ac:dyDescent="0.2">
      <c r="B44" s="1" t="s">
        <v>9</v>
      </c>
      <c r="C44" s="5">
        <v>0</v>
      </c>
      <c r="D44" s="4">
        <f>D153</f>
        <v>6638.8102845979274</v>
      </c>
      <c r="E44" s="4">
        <f t="shared" ref="E44:K44" si="28">E153</f>
        <v>17716.888302083273</v>
      </c>
      <c r="F44" s="4">
        <f t="shared" si="28"/>
        <v>28841.044722545277</v>
      </c>
      <c r="G44" s="4">
        <f t="shared" si="28"/>
        <v>31527.085231216719</v>
      </c>
      <c r="H44" s="4">
        <f t="shared" si="28"/>
        <v>34585.937485392387</v>
      </c>
      <c r="I44" s="4">
        <f t="shared" si="28"/>
        <v>37957.376374413223</v>
      </c>
      <c r="J44" s="4">
        <f t="shared" si="28"/>
        <v>41669.419933089535</v>
      </c>
      <c r="K44" s="4">
        <f t="shared" si="28"/>
        <v>45752.704027019296</v>
      </c>
    </row>
    <row r="45" spans="2:11" x14ac:dyDescent="0.2">
      <c r="B45" s="40" t="s">
        <v>28</v>
      </c>
      <c r="C45" s="41">
        <f>SUM(C43:C44)</f>
        <v>5000</v>
      </c>
      <c r="D45" s="41">
        <f t="shared" ref="D45:K45" si="29">SUM(D43:D44)</f>
        <v>11638.810284597927</v>
      </c>
      <c r="E45" s="41">
        <f t="shared" si="29"/>
        <v>22716.888302083273</v>
      </c>
      <c r="F45" s="41">
        <f t="shared" si="29"/>
        <v>33841.044722545281</v>
      </c>
      <c r="G45" s="41">
        <f t="shared" si="29"/>
        <v>36527.085231216719</v>
      </c>
      <c r="H45" s="41">
        <f t="shared" si="29"/>
        <v>39585.937485392387</v>
      </c>
      <c r="I45" s="41">
        <f t="shared" si="29"/>
        <v>42957.376374413223</v>
      </c>
      <c r="J45" s="41">
        <f t="shared" si="29"/>
        <v>46669.419933089535</v>
      </c>
      <c r="K45" s="41">
        <f t="shared" si="29"/>
        <v>50752.704027019296</v>
      </c>
    </row>
    <row r="47" spans="2:11" x14ac:dyDescent="0.2">
      <c r="B47" s="21" t="s">
        <v>29</v>
      </c>
      <c r="C47" s="22">
        <f>C45+C41</f>
        <v>50676.52210889299</v>
      </c>
      <c r="D47" s="22">
        <f t="shared" ref="D47:K47" si="30">D45+D41</f>
        <v>45367.424939461955</v>
      </c>
      <c r="E47" s="22">
        <f t="shared" si="30"/>
        <v>54148.752620906453</v>
      </c>
      <c r="F47" s="22">
        <f t="shared" si="30"/>
        <v>79029.413513924344</v>
      </c>
      <c r="G47" s="22">
        <f t="shared" si="30"/>
        <v>71744.226371181663</v>
      </c>
      <c r="H47" s="22">
        <f t="shared" si="30"/>
        <v>72927.510893839819</v>
      </c>
      <c r="I47" s="22">
        <f t="shared" si="30"/>
        <v>74120.875669647256</v>
      </c>
      <c r="J47" s="22">
        <f t="shared" si="30"/>
        <v>75309.080602481816</v>
      </c>
      <c r="K47" s="22">
        <f t="shared" si="30"/>
        <v>76473.660573984758</v>
      </c>
    </row>
    <row r="49" spans="1:11" x14ac:dyDescent="0.2">
      <c r="B49" s="3" t="s">
        <v>30</v>
      </c>
      <c r="C49" s="139">
        <f>C33-(C41+C45)</f>
        <v>0</v>
      </c>
      <c r="D49" s="139">
        <f t="shared" ref="D49:K49" si="31">D33-(D41+D45)</f>
        <v>0</v>
      </c>
      <c r="E49" s="139">
        <f t="shared" si="31"/>
        <v>0</v>
      </c>
      <c r="F49" s="139">
        <f t="shared" si="31"/>
        <v>0</v>
      </c>
      <c r="G49" s="139">
        <f t="shared" si="31"/>
        <v>0</v>
      </c>
      <c r="H49" s="139">
        <f t="shared" si="31"/>
        <v>0</v>
      </c>
      <c r="I49" s="139">
        <f t="shared" si="31"/>
        <v>0</v>
      </c>
      <c r="J49" s="139">
        <f t="shared" si="31"/>
        <v>0</v>
      </c>
      <c r="K49" s="139">
        <f t="shared" si="31"/>
        <v>0</v>
      </c>
    </row>
    <row r="51" spans="1:11" x14ac:dyDescent="0.2">
      <c r="A51" s="1" t="s">
        <v>43</v>
      </c>
      <c r="B51" s="2" t="s">
        <v>2</v>
      </c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2">
      <c r="B52" s="13"/>
      <c r="C52" s="14"/>
      <c r="D52" s="14">
        <f>D26</f>
        <v>2021</v>
      </c>
      <c r="E52" s="14">
        <f>D52+1</f>
        <v>2022</v>
      </c>
      <c r="F52" s="331">
        <f>E52+1</f>
        <v>2023</v>
      </c>
      <c r="G52" s="15">
        <f>F52+1</f>
        <v>2024</v>
      </c>
      <c r="H52" s="15">
        <f t="shared" ref="H52:K52" si="32">G52+1</f>
        <v>2025</v>
      </c>
      <c r="I52" s="15">
        <f t="shared" si="32"/>
        <v>2026</v>
      </c>
      <c r="J52" s="15">
        <f t="shared" si="32"/>
        <v>2027</v>
      </c>
      <c r="K52" s="15">
        <f t="shared" si="32"/>
        <v>2028</v>
      </c>
    </row>
    <row r="53" spans="1:11" x14ac:dyDescent="0.2">
      <c r="B53" s="1" t="s">
        <v>18</v>
      </c>
      <c r="C53" s="4"/>
      <c r="D53" s="4">
        <f>D19</f>
        <v>6988.2213522083448</v>
      </c>
      <c r="E53" s="4">
        <f t="shared" ref="E53:K53" si="33">E19</f>
        <v>11661.134755247729</v>
      </c>
      <c r="F53" s="4">
        <f t="shared" si="33"/>
        <v>11709.638337328424</v>
      </c>
      <c r="G53" s="4">
        <f t="shared" si="33"/>
        <v>13430.202543357223</v>
      </c>
      <c r="H53" s="4">
        <f t="shared" si="33"/>
        <v>15294.261270878331</v>
      </c>
      <c r="I53" s="4">
        <f t="shared" si="33"/>
        <v>16857.194445104178</v>
      </c>
      <c r="J53" s="4">
        <f t="shared" si="33"/>
        <v>18560.217793381562</v>
      </c>
      <c r="K53" s="4">
        <f t="shared" si="33"/>
        <v>20416.420469648809</v>
      </c>
    </row>
    <row r="54" spans="1:11" x14ac:dyDescent="0.2">
      <c r="B54" s="51" t="s">
        <v>83</v>
      </c>
      <c r="C54" s="4"/>
      <c r="D54" s="4">
        <f>-D13</f>
        <v>465.00125000000003</v>
      </c>
      <c r="E54" s="4">
        <f t="shared" ref="E54:K54" si="34">-E13</f>
        <v>646.50312499999995</v>
      </c>
      <c r="F54" s="4">
        <f t="shared" si="34"/>
        <v>855.23028124999996</v>
      </c>
      <c r="G54" s="4">
        <f t="shared" si="34"/>
        <v>1080.6556099999998</v>
      </c>
      <c r="H54" s="4">
        <f t="shared" si="34"/>
        <v>1324.1149650499999</v>
      </c>
      <c r="I54" s="4">
        <f t="shared" si="34"/>
        <v>1587.0510685039999</v>
      </c>
      <c r="J54" s="4">
        <f t="shared" si="34"/>
        <v>1871.0220602343197</v>
      </c>
      <c r="K54" s="4">
        <f t="shared" si="34"/>
        <v>2177.7107313030651</v>
      </c>
    </row>
    <row r="55" spans="1:11" x14ac:dyDescent="0.2">
      <c r="B55" s="72" t="s">
        <v>84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x14ac:dyDescent="0.2">
      <c r="B56" s="51" t="str">
        <f>"Change in " &amp;B28</f>
        <v>Change in Accounts Receivable</v>
      </c>
      <c r="D56" s="4">
        <f>-(D28-C28)</f>
        <v>-5680.1</v>
      </c>
      <c r="E56" s="4">
        <f t="shared" ref="E56:K56" si="35">-(E28-D28)</f>
        <v>-4840.0499999999993</v>
      </c>
      <c r="F56" s="4">
        <f t="shared" si="35"/>
        <v>-2178.0225000000009</v>
      </c>
      <c r="G56" s="4">
        <f t="shared" si="35"/>
        <v>-1335.8537999999971</v>
      </c>
      <c r="H56" s="4">
        <f t="shared" si="35"/>
        <v>-1442.7221040000004</v>
      </c>
      <c r="I56" s="4">
        <f t="shared" si="35"/>
        <v>-1558.1398723199964</v>
      </c>
      <c r="J56" s="4">
        <f t="shared" si="35"/>
        <v>-1682.7910621055998</v>
      </c>
      <c r="K56" s="4">
        <f t="shared" si="35"/>
        <v>-1817.4143470740491</v>
      </c>
    </row>
    <row r="57" spans="1:11" x14ac:dyDescent="0.2">
      <c r="B57" s="51" t="str">
        <f>"Change in " &amp;B29</f>
        <v>Change in Work in Progress</v>
      </c>
      <c r="D57" s="4">
        <f t="shared" ref="D57:K58" si="36">-(D29-C29)</f>
        <v>-71.675000000000068</v>
      </c>
      <c r="E57" s="4">
        <f t="shared" si="36"/>
        <v>-403.33749999999998</v>
      </c>
      <c r="F57" s="4">
        <f t="shared" si="36"/>
        <v>-181.50187499999993</v>
      </c>
      <c r="G57" s="4">
        <f t="shared" si="36"/>
        <v>-111.32114999999999</v>
      </c>
      <c r="H57" s="4">
        <f t="shared" si="36"/>
        <v>-120.22684199999981</v>
      </c>
      <c r="I57" s="4">
        <f t="shared" si="36"/>
        <v>-129.84498936</v>
      </c>
      <c r="J57" s="4">
        <f t="shared" si="36"/>
        <v>-140.23258850879984</v>
      </c>
      <c r="K57" s="4">
        <f t="shared" si="36"/>
        <v>-151.4511955895041</v>
      </c>
    </row>
    <row r="58" spans="1:11" x14ac:dyDescent="0.2">
      <c r="B58" s="51" t="str">
        <f>"Change in " &amp;B30</f>
        <v>Change in Inventory</v>
      </c>
      <c r="D58" s="4">
        <f t="shared" si="36"/>
        <v>-1970.7800000000007</v>
      </c>
      <c r="E58" s="4">
        <f t="shared" si="36"/>
        <v>-5485.3900000000012</v>
      </c>
      <c r="F58" s="4">
        <f t="shared" si="36"/>
        <v>-2468.4255000000012</v>
      </c>
      <c r="G58" s="4">
        <f t="shared" si="36"/>
        <v>-1513.9676399999989</v>
      </c>
      <c r="H58" s="4">
        <f t="shared" si="36"/>
        <v>-1635.0850511999997</v>
      </c>
      <c r="I58" s="4">
        <f t="shared" si="36"/>
        <v>-1765.8918552959949</v>
      </c>
      <c r="J58" s="4">
        <f t="shared" si="36"/>
        <v>-1907.1632037196832</v>
      </c>
      <c r="K58" s="4">
        <f t="shared" si="36"/>
        <v>-2059.7362600172528</v>
      </c>
    </row>
    <row r="59" spans="1:11" x14ac:dyDescent="0.2">
      <c r="B59" s="51" t="str">
        <f>"Change in " &amp;B35</f>
        <v>Change in Accounts Payable</v>
      </c>
      <c r="D59" s="4">
        <f>D35-C35</f>
        <v>446.96450000000004</v>
      </c>
      <c r="E59" s="4">
        <f t="shared" ref="E59:K59" si="37">E35-D35</f>
        <v>1508.48225</v>
      </c>
      <c r="F59" s="4">
        <f t="shared" si="37"/>
        <v>678.8170125000006</v>
      </c>
      <c r="G59" s="4">
        <f t="shared" si="37"/>
        <v>416.34110099999998</v>
      </c>
      <c r="H59" s="4">
        <f t="shared" si="37"/>
        <v>449.64838907999911</v>
      </c>
      <c r="I59" s="4">
        <f t="shared" si="37"/>
        <v>485.62026020639951</v>
      </c>
      <c r="J59" s="4">
        <f t="shared" si="37"/>
        <v>524.46988102291198</v>
      </c>
      <c r="K59" s="4">
        <f t="shared" si="37"/>
        <v>566.42747150474497</v>
      </c>
    </row>
    <row r="60" spans="1:11" x14ac:dyDescent="0.2">
      <c r="B60" s="51" t="str">
        <f t="shared" ref="B60:B61" si="38">"Change in " &amp;B36</f>
        <v>Change in Acrrued Expenses</v>
      </c>
      <c r="D60" s="4">
        <f t="shared" ref="D60:K61" si="39">D36-C36</f>
        <v>492.07799999999997</v>
      </c>
      <c r="E60" s="4">
        <f t="shared" si="39"/>
        <v>548.53900000000021</v>
      </c>
      <c r="F60" s="4">
        <f t="shared" si="39"/>
        <v>246.84255000000007</v>
      </c>
      <c r="G60" s="4">
        <f t="shared" si="39"/>
        <v>151.39676399999985</v>
      </c>
      <c r="H60" s="4">
        <f t="shared" si="39"/>
        <v>163.50850511999988</v>
      </c>
      <c r="I60" s="4">
        <f t="shared" si="39"/>
        <v>176.58918552959994</v>
      </c>
      <c r="J60" s="4">
        <f t="shared" si="39"/>
        <v>190.71632037196787</v>
      </c>
      <c r="K60" s="4">
        <f t="shared" si="39"/>
        <v>205.97362600172528</v>
      </c>
    </row>
    <row r="61" spans="1:11" x14ac:dyDescent="0.2">
      <c r="B61" s="51" t="str">
        <f t="shared" si="38"/>
        <v>Change in Unearned Revenues</v>
      </c>
      <c r="D61" s="4">
        <f t="shared" si="39"/>
        <v>-5966.0709999999999</v>
      </c>
      <c r="E61" s="4">
        <f t="shared" si="39"/>
        <v>3016.9645</v>
      </c>
      <c r="F61" s="4">
        <f t="shared" si="39"/>
        <v>1357.6340250000012</v>
      </c>
      <c r="G61" s="4">
        <f t="shared" si="39"/>
        <v>832.68220199999996</v>
      </c>
      <c r="H61" s="4">
        <f t="shared" si="39"/>
        <v>899.29677815999821</v>
      </c>
      <c r="I61" s="4">
        <f t="shared" si="39"/>
        <v>971.24052041279901</v>
      </c>
      <c r="J61" s="4">
        <f t="shared" si="39"/>
        <v>1048.939762045824</v>
      </c>
      <c r="K61" s="4">
        <f t="shared" si="39"/>
        <v>1132.8549430094899</v>
      </c>
    </row>
    <row r="62" spans="1:11" x14ac:dyDescent="0.2">
      <c r="B62" s="40" t="s">
        <v>5</v>
      </c>
      <c r="C62" s="40"/>
      <c r="D62" s="41">
        <f>SUM(D53:D61)</f>
        <v>-5296.3608977916556</v>
      </c>
      <c r="E62" s="41">
        <f t="shared" ref="E62:K62" si="40">SUM(E53:E61)</f>
        <v>6652.8461302477281</v>
      </c>
      <c r="F62" s="41">
        <f t="shared" si="40"/>
        <v>10020.212331078423</v>
      </c>
      <c r="G62" s="41">
        <f t="shared" si="40"/>
        <v>12950.135630357227</v>
      </c>
      <c r="H62" s="41">
        <f t="shared" si="40"/>
        <v>14932.795911088329</v>
      </c>
      <c r="I62" s="41">
        <f t="shared" si="40"/>
        <v>16623.818762780982</v>
      </c>
      <c r="J62" s="41">
        <f t="shared" si="40"/>
        <v>18465.178962722501</v>
      </c>
      <c r="K62" s="41">
        <f t="shared" si="40"/>
        <v>20470.785438787028</v>
      </c>
    </row>
    <row r="64" spans="1:11" x14ac:dyDescent="0.2">
      <c r="B64" s="1" t="s">
        <v>31</v>
      </c>
      <c r="D64" s="4">
        <f>-D100</f>
        <v>-1210.0125</v>
      </c>
      <c r="E64" s="4">
        <f t="shared" ref="E64:K64" si="41">-E100</f>
        <v>-1815.01875</v>
      </c>
      <c r="F64" s="4">
        <f t="shared" si="41"/>
        <v>-2087.2715625000001</v>
      </c>
      <c r="G64" s="4">
        <f t="shared" si="41"/>
        <v>-2254.2532874999997</v>
      </c>
      <c r="H64" s="4">
        <f t="shared" si="41"/>
        <v>-2434.5935504999998</v>
      </c>
      <c r="I64" s="4">
        <f t="shared" si="41"/>
        <v>-2629.3610345399993</v>
      </c>
      <c r="J64" s="4">
        <f t="shared" si="41"/>
        <v>-2839.7099173031993</v>
      </c>
      <c r="K64" s="4">
        <f t="shared" si="41"/>
        <v>-3066.8867106874554</v>
      </c>
    </row>
    <row r="65" spans="1:11" x14ac:dyDescent="0.2">
      <c r="B65" s="40" t="s">
        <v>6</v>
      </c>
      <c r="C65" s="40"/>
      <c r="D65" s="41">
        <f>D64</f>
        <v>-1210.0125</v>
      </c>
      <c r="E65" s="41">
        <f t="shared" ref="E65:K65" si="42">E64</f>
        <v>-1815.01875</v>
      </c>
      <c r="F65" s="41">
        <f t="shared" si="42"/>
        <v>-2087.2715625000001</v>
      </c>
      <c r="G65" s="41">
        <f t="shared" si="42"/>
        <v>-2254.2532874999997</v>
      </c>
      <c r="H65" s="41">
        <f t="shared" si="42"/>
        <v>-2434.5935504999998</v>
      </c>
      <c r="I65" s="41">
        <f t="shared" si="42"/>
        <v>-2629.3610345399993</v>
      </c>
      <c r="J65" s="41">
        <f t="shared" si="42"/>
        <v>-2839.7099173031993</v>
      </c>
      <c r="K65" s="41">
        <f t="shared" si="42"/>
        <v>-3066.8867106874554</v>
      </c>
    </row>
    <row r="67" spans="1:11" x14ac:dyDescent="0.2">
      <c r="B67" s="1" t="s">
        <v>85</v>
      </c>
      <c r="D67" s="4">
        <f>D40-C40</f>
        <v>-6920.8789540289654</v>
      </c>
      <c r="E67" s="4">
        <f t="shared" ref="E67:K67" si="43">E40-D40</f>
        <v>-7370.7360860408462</v>
      </c>
      <c r="F67" s="4">
        <f t="shared" si="43"/>
        <v>11473.210885055878</v>
      </c>
      <c r="G67" s="4">
        <f t="shared" si="43"/>
        <v>-11371.647718414124</v>
      </c>
      <c r="H67" s="4">
        <f t="shared" si="43"/>
        <v>-3388.021403877503</v>
      </c>
      <c r="I67" s="4">
        <f t="shared" si="43"/>
        <v>-3811.5240793621924</v>
      </c>
      <c r="J67" s="4">
        <f t="shared" si="43"/>
        <v>-4287.9645892824665</v>
      </c>
      <c r="K67" s="4">
        <f t="shared" si="43"/>
        <v>-4823.9601629427707</v>
      </c>
    </row>
    <row r="68" spans="1:11" x14ac:dyDescent="0.2">
      <c r="B68" s="1" t="s">
        <v>32</v>
      </c>
      <c r="D68" s="4">
        <f>D43-C43</f>
        <v>0</v>
      </c>
      <c r="E68" s="4">
        <f t="shared" ref="E68:K68" si="44">E43-D43</f>
        <v>0</v>
      </c>
      <c r="F68" s="4">
        <f t="shared" si="44"/>
        <v>0</v>
      </c>
      <c r="G68" s="4">
        <f t="shared" si="44"/>
        <v>0</v>
      </c>
      <c r="H68" s="4">
        <f t="shared" si="44"/>
        <v>0</v>
      </c>
      <c r="I68" s="4">
        <f t="shared" si="44"/>
        <v>0</v>
      </c>
      <c r="J68" s="4">
        <f t="shared" si="44"/>
        <v>0</v>
      </c>
      <c r="K68" s="4">
        <f t="shared" si="44"/>
        <v>0</v>
      </c>
    </row>
    <row r="69" spans="1:11" x14ac:dyDescent="0.2">
      <c r="B69" s="37" t="s">
        <v>33</v>
      </c>
      <c r="C69" s="37"/>
      <c r="D69" s="38">
        <f>D152</f>
        <v>-349.41106761041726</v>
      </c>
      <c r="E69" s="38">
        <f t="shared" ref="E69:K69" si="45">E152</f>
        <v>-583.05673776238643</v>
      </c>
      <c r="F69" s="38">
        <f t="shared" si="45"/>
        <v>-585.48191686642122</v>
      </c>
      <c r="G69" s="38">
        <f t="shared" si="45"/>
        <v>-10744.16203468578</v>
      </c>
      <c r="H69" s="38">
        <f t="shared" si="45"/>
        <v>-12235.409016702666</v>
      </c>
      <c r="I69" s="38">
        <f t="shared" si="45"/>
        <v>-13485.755556083343</v>
      </c>
      <c r="J69" s="38">
        <f t="shared" si="45"/>
        <v>-14848.17423470525</v>
      </c>
      <c r="K69" s="38">
        <f t="shared" si="45"/>
        <v>-16333.136375719048</v>
      </c>
    </row>
    <row r="70" spans="1:11" x14ac:dyDescent="0.2">
      <c r="B70" s="73" t="s">
        <v>7</v>
      </c>
      <c r="C70" s="73"/>
      <c r="D70" s="74">
        <f>SUM(D67:D69)</f>
        <v>-7270.2900216393828</v>
      </c>
      <c r="E70" s="74">
        <f t="shared" ref="E70:K70" si="46">SUM(E67:E69)</f>
        <v>-7953.7928238032327</v>
      </c>
      <c r="F70" s="74">
        <f t="shared" si="46"/>
        <v>10887.728968189456</v>
      </c>
      <c r="G70" s="74">
        <f t="shared" si="46"/>
        <v>-22115.809753099904</v>
      </c>
      <c r="H70" s="74">
        <f t="shared" si="46"/>
        <v>-15623.430420580169</v>
      </c>
      <c r="I70" s="74">
        <f t="shared" si="46"/>
        <v>-17297.279635445535</v>
      </c>
      <c r="J70" s="74">
        <f t="shared" si="46"/>
        <v>-19136.138823987716</v>
      </c>
      <c r="K70" s="74">
        <f t="shared" si="46"/>
        <v>-21157.096538661819</v>
      </c>
    </row>
    <row r="72" spans="1:11" x14ac:dyDescent="0.2">
      <c r="B72" s="1" t="s">
        <v>40</v>
      </c>
      <c r="D72" s="4">
        <f>C74</f>
        <v>33501.52210889299</v>
      </c>
      <c r="E72" s="4">
        <f t="shared" ref="E72:K72" si="47">D74</f>
        <v>19724.858689461951</v>
      </c>
      <c r="F72" s="4">
        <f t="shared" si="47"/>
        <v>16608.893245906445</v>
      </c>
      <c r="G72" s="4">
        <f t="shared" si="47"/>
        <v>35429.562982674324</v>
      </c>
      <c r="H72" s="4">
        <f t="shared" si="47"/>
        <v>24009.635572431645</v>
      </c>
      <c r="I72" s="4">
        <f t="shared" si="47"/>
        <v>20884.407512439808</v>
      </c>
      <c r="J72" s="4">
        <f t="shared" si="47"/>
        <v>17581.585605235254</v>
      </c>
      <c r="K72" s="4">
        <f t="shared" si="47"/>
        <v>14070.915826666838</v>
      </c>
    </row>
    <row r="73" spans="1:11" x14ac:dyDescent="0.2">
      <c r="B73" s="21" t="s">
        <v>8</v>
      </c>
      <c r="C73" s="21"/>
      <c r="D73" s="22">
        <f>D70+D65+D62</f>
        <v>-13776.663419431039</v>
      </c>
      <c r="E73" s="22">
        <f t="shared" ref="E73:K73" si="48">E70+E65+E62</f>
        <v>-3115.965443555504</v>
      </c>
      <c r="F73" s="22">
        <f t="shared" si="48"/>
        <v>18820.669736767879</v>
      </c>
      <c r="G73" s="22">
        <f t="shared" si="48"/>
        <v>-11419.927410242677</v>
      </c>
      <c r="H73" s="22">
        <f t="shared" si="48"/>
        <v>-3125.2280599918395</v>
      </c>
      <c r="I73" s="22">
        <f t="shared" si="48"/>
        <v>-3302.821907204554</v>
      </c>
      <c r="J73" s="22">
        <f t="shared" si="48"/>
        <v>-3510.6697785684155</v>
      </c>
      <c r="K73" s="22">
        <f t="shared" si="48"/>
        <v>-3753.1978105622475</v>
      </c>
    </row>
    <row r="74" spans="1:11" x14ac:dyDescent="0.2">
      <c r="B74" s="1" t="s">
        <v>39</v>
      </c>
      <c r="C74" s="140">
        <f>C27</f>
        <v>33501.52210889299</v>
      </c>
      <c r="D74" s="4">
        <f>SUM(D72:D73)</f>
        <v>19724.858689461951</v>
      </c>
      <c r="E74" s="4">
        <f t="shared" ref="E74:K74" si="49">SUM(E72:E73)</f>
        <v>16608.893245906445</v>
      </c>
      <c r="F74" s="4">
        <f t="shared" si="49"/>
        <v>35429.562982674324</v>
      </c>
      <c r="G74" s="4">
        <f t="shared" si="49"/>
        <v>24009.635572431645</v>
      </c>
      <c r="H74" s="4">
        <f t="shared" si="49"/>
        <v>20884.407512439808</v>
      </c>
      <c r="I74" s="4">
        <f t="shared" si="49"/>
        <v>17581.585605235254</v>
      </c>
      <c r="J74" s="4">
        <f t="shared" si="49"/>
        <v>14070.915826666838</v>
      </c>
      <c r="K74" s="4">
        <f t="shared" si="49"/>
        <v>10317.718016104591</v>
      </c>
    </row>
    <row r="75" spans="1:11" x14ac:dyDescent="0.2">
      <c r="B75" s="6"/>
      <c r="C75" s="7"/>
      <c r="D75" s="7"/>
      <c r="E75" s="7"/>
      <c r="F75" s="7"/>
      <c r="G75" s="7"/>
      <c r="H75" s="7"/>
      <c r="I75" s="7"/>
      <c r="J75" s="7"/>
      <c r="K75" s="7"/>
    </row>
    <row r="76" spans="1:11" x14ac:dyDescent="0.2">
      <c r="A76" s="1" t="s">
        <v>43</v>
      </c>
      <c r="B76" s="2" t="s">
        <v>35</v>
      </c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2">
      <c r="B77" s="17" t="s">
        <v>37</v>
      </c>
      <c r="C77" s="14">
        <v>2020</v>
      </c>
      <c r="D77" s="14">
        <f>C77+1</f>
        <v>2021</v>
      </c>
      <c r="E77" s="14">
        <f>D77+1</f>
        <v>2022</v>
      </c>
      <c r="F77" s="331">
        <f>E77+1</f>
        <v>2023</v>
      </c>
      <c r="G77" s="15">
        <f>F77+1</f>
        <v>2024</v>
      </c>
      <c r="H77" s="15">
        <f t="shared" ref="H77:K77" si="50">G77+1</f>
        <v>2025</v>
      </c>
      <c r="I77" s="15">
        <f t="shared" si="50"/>
        <v>2026</v>
      </c>
      <c r="J77" s="15">
        <f t="shared" si="50"/>
        <v>2027</v>
      </c>
      <c r="K77" s="15">
        <f t="shared" si="50"/>
        <v>2028</v>
      </c>
    </row>
    <row r="78" spans="1:11" x14ac:dyDescent="0.2">
      <c r="C78" s="8"/>
      <c r="D78" s="8"/>
      <c r="E78" s="8"/>
      <c r="F78" s="8"/>
      <c r="G78" s="8"/>
      <c r="H78" s="8"/>
      <c r="I78" s="8"/>
      <c r="J78" s="8"/>
      <c r="K78" s="8"/>
    </row>
    <row r="79" spans="1:11" x14ac:dyDescent="0.2">
      <c r="B79" s="1" t="s">
        <v>59</v>
      </c>
      <c r="C79" s="24">
        <v>32267</v>
      </c>
      <c r="D79" s="9">
        <v>1.5</v>
      </c>
      <c r="E79" s="9">
        <v>0.5</v>
      </c>
      <c r="F79" s="9">
        <v>0.15</v>
      </c>
      <c r="G79" s="9">
        <v>0.08</v>
      </c>
      <c r="H79" s="9">
        <v>0.08</v>
      </c>
      <c r="I79" s="9">
        <v>0.08</v>
      </c>
      <c r="J79" s="9">
        <v>0.08</v>
      </c>
      <c r="K79" s="9">
        <v>0.08</v>
      </c>
    </row>
    <row r="81" spans="1:11" x14ac:dyDescent="0.2">
      <c r="B81" s="1" t="s">
        <v>45</v>
      </c>
      <c r="C81" s="9"/>
      <c r="D81" s="9">
        <v>0.68</v>
      </c>
      <c r="E81" s="9">
        <v>0.68</v>
      </c>
      <c r="F81" s="9">
        <v>0.68</v>
      </c>
      <c r="G81" s="9">
        <v>0.68</v>
      </c>
      <c r="H81" s="9">
        <v>0.68</v>
      </c>
      <c r="I81" s="9">
        <v>0.68</v>
      </c>
      <c r="J81" s="9">
        <v>0.68</v>
      </c>
      <c r="K81" s="9">
        <v>0.68</v>
      </c>
    </row>
    <row r="82" spans="1:11" x14ac:dyDescent="0.2">
      <c r="B82" s="1" t="s">
        <v>44</v>
      </c>
      <c r="C82" s="9"/>
      <c r="D82" s="9">
        <v>0.18</v>
      </c>
      <c r="E82" s="9">
        <v>0.18</v>
      </c>
      <c r="F82" s="9">
        <v>0.18</v>
      </c>
      <c r="G82" s="9">
        <v>0.18</v>
      </c>
      <c r="H82" s="9">
        <v>0.18</v>
      </c>
      <c r="I82" s="9">
        <v>0.18</v>
      </c>
      <c r="J82" s="9">
        <v>0.18</v>
      </c>
      <c r="K82" s="9">
        <v>0.18</v>
      </c>
    </row>
    <row r="83" spans="1:11" x14ac:dyDescent="0.2">
      <c r="C83" s="11"/>
      <c r="D83" s="12"/>
      <c r="E83" s="12"/>
      <c r="F83" s="12"/>
      <c r="G83" s="12"/>
      <c r="H83" s="12"/>
      <c r="I83" s="12"/>
      <c r="J83" s="12"/>
      <c r="K83" s="12"/>
    </row>
    <row r="84" spans="1:11" x14ac:dyDescent="0.2">
      <c r="B84" s="1" t="s">
        <v>36</v>
      </c>
      <c r="C84" s="10"/>
      <c r="D84" s="10">
        <v>0.21</v>
      </c>
      <c r="E84" s="10">
        <v>0.21</v>
      </c>
      <c r="F84" s="10">
        <v>0.21</v>
      </c>
      <c r="G84" s="10">
        <v>0.21</v>
      </c>
      <c r="H84" s="10">
        <v>0.21</v>
      </c>
      <c r="I84" s="10">
        <v>0.21</v>
      </c>
      <c r="J84" s="10">
        <v>0.21</v>
      </c>
      <c r="K84" s="10">
        <v>0.21</v>
      </c>
    </row>
    <row r="86" spans="1:11" x14ac:dyDescent="0.2">
      <c r="B86" s="17" t="s">
        <v>38</v>
      </c>
      <c r="C86" s="43"/>
      <c r="D86" s="43"/>
      <c r="E86" s="43"/>
      <c r="F86" s="43"/>
      <c r="G86" s="43"/>
      <c r="H86" s="43"/>
      <c r="I86" s="43"/>
      <c r="J86" s="43"/>
      <c r="K86" s="43"/>
    </row>
    <row r="87" spans="1:11" x14ac:dyDescent="0.2">
      <c r="B87" s="67"/>
    </row>
    <row r="88" spans="1:11" x14ac:dyDescent="0.2">
      <c r="B88" s="1" t="str">
        <f>B28&amp;" as a % of Rev"</f>
        <v>Accounts Receivable as a % of Rev</v>
      </c>
      <c r="C88" s="11"/>
      <c r="D88" s="10">
        <v>0.12</v>
      </c>
      <c r="E88" s="10">
        <v>0.12</v>
      </c>
      <c r="F88" s="10">
        <v>0.12</v>
      </c>
      <c r="G88" s="10">
        <v>0.12</v>
      </c>
      <c r="H88" s="10">
        <v>0.12</v>
      </c>
      <c r="I88" s="10">
        <v>0.12</v>
      </c>
      <c r="J88" s="10">
        <v>0.12</v>
      </c>
      <c r="K88" s="10">
        <v>0.12</v>
      </c>
    </row>
    <row r="89" spans="1:11" x14ac:dyDescent="0.2">
      <c r="B89" s="1" t="str">
        <f>B29&amp;" as a % of Rev"</f>
        <v>Work in Progress as a % of Rev</v>
      </c>
      <c r="C89" s="11"/>
      <c r="D89" s="10">
        <v>0.01</v>
      </c>
      <c r="E89" s="10">
        <v>0.01</v>
      </c>
      <c r="F89" s="10">
        <v>0.01</v>
      </c>
      <c r="G89" s="10">
        <v>0.01</v>
      </c>
      <c r="H89" s="10">
        <v>0.01</v>
      </c>
      <c r="I89" s="10">
        <v>0.01</v>
      </c>
      <c r="J89" s="10">
        <v>0.01</v>
      </c>
      <c r="K89" s="10">
        <v>0.01</v>
      </c>
    </row>
    <row r="90" spans="1:11" x14ac:dyDescent="0.2">
      <c r="B90" s="1" t="str">
        <f>B30&amp;" as a % of COGS"</f>
        <v>Inventory as a % of COGS</v>
      </c>
      <c r="C90" s="11"/>
      <c r="D90" s="10">
        <v>0.2</v>
      </c>
      <c r="E90" s="10">
        <v>0.2</v>
      </c>
      <c r="F90" s="10">
        <v>0.2</v>
      </c>
      <c r="G90" s="10">
        <v>0.2</v>
      </c>
      <c r="H90" s="10">
        <v>0.2</v>
      </c>
      <c r="I90" s="10">
        <v>0.2</v>
      </c>
      <c r="J90" s="10">
        <v>0.2</v>
      </c>
      <c r="K90" s="10">
        <v>0.2</v>
      </c>
    </row>
    <row r="91" spans="1:11" x14ac:dyDescent="0.2">
      <c r="B91" s="1" t="str">
        <f>B35&amp;" as a % of COGS"</f>
        <v>Accounts Payable as a % of COGS</v>
      </c>
      <c r="D91" s="10">
        <v>5.5E-2</v>
      </c>
      <c r="E91" s="10">
        <v>5.5E-2</v>
      </c>
      <c r="F91" s="10">
        <v>5.5E-2</v>
      </c>
      <c r="G91" s="10">
        <v>5.5E-2</v>
      </c>
      <c r="H91" s="10">
        <v>5.5E-2</v>
      </c>
      <c r="I91" s="10">
        <v>5.5E-2</v>
      </c>
      <c r="J91" s="10">
        <v>5.5E-2</v>
      </c>
      <c r="K91" s="10">
        <v>5.5E-2</v>
      </c>
    </row>
    <row r="92" spans="1:11" x14ac:dyDescent="0.2">
      <c r="B92" s="1" t="str">
        <f>B36&amp;" as a % of COGS"</f>
        <v>Acrrued Expenses as a % of COGS</v>
      </c>
      <c r="C92" s="5"/>
      <c r="D92" s="10">
        <v>0.02</v>
      </c>
      <c r="E92" s="10">
        <v>0.02</v>
      </c>
      <c r="F92" s="10">
        <v>0.02</v>
      </c>
      <c r="G92" s="10">
        <v>0.02</v>
      </c>
      <c r="H92" s="10">
        <v>0.02</v>
      </c>
      <c r="I92" s="10">
        <v>0.02</v>
      </c>
      <c r="J92" s="10">
        <v>0.02</v>
      </c>
      <c r="K92" s="10">
        <v>0.02</v>
      </c>
    </row>
    <row r="93" spans="1:11" x14ac:dyDescent="0.2">
      <c r="B93" s="1" t="str">
        <f>B37&amp;" as a % of COGS"</f>
        <v>Unearned Revenues as a % of COGS</v>
      </c>
      <c r="C93" s="9"/>
      <c r="D93" s="10">
        <v>0.11</v>
      </c>
      <c r="E93" s="10">
        <v>0.11</v>
      </c>
      <c r="F93" s="10">
        <v>0.11</v>
      </c>
      <c r="G93" s="10">
        <v>0.11</v>
      </c>
      <c r="H93" s="10">
        <v>0.11</v>
      </c>
      <c r="I93" s="10">
        <v>0.11</v>
      </c>
      <c r="J93" s="10">
        <v>0.11</v>
      </c>
      <c r="K93" s="10">
        <v>0.11</v>
      </c>
    </row>
    <row r="94" spans="1:11" x14ac:dyDescent="0.2">
      <c r="C94" s="4"/>
      <c r="D94" s="4"/>
      <c r="E94" s="4"/>
      <c r="F94" s="4"/>
      <c r="G94" s="4"/>
      <c r="H94" s="4"/>
      <c r="I94" s="4"/>
      <c r="J94" s="4"/>
      <c r="K94" s="4"/>
    </row>
    <row r="95" spans="1:11" x14ac:dyDescent="0.2">
      <c r="B95" s="6"/>
      <c r="C95" s="7"/>
      <c r="D95" s="7"/>
      <c r="E95" s="7"/>
      <c r="F95" s="7"/>
      <c r="G95" s="7"/>
      <c r="H95" s="7"/>
      <c r="I95" s="7"/>
      <c r="J95" s="7"/>
      <c r="K95" s="7"/>
    </row>
    <row r="96" spans="1:11" x14ac:dyDescent="0.2">
      <c r="A96" s="1" t="s">
        <v>43</v>
      </c>
      <c r="B96" s="2" t="s">
        <v>34</v>
      </c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17" t="s">
        <v>62</v>
      </c>
      <c r="C97" s="14">
        <v>2020</v>
      </c>
      <c r="D97" s="14">
        <f>C97+1</f>
        <v>2021</v>
      </c>
      <c r="E97" s="14">
        <f>D97+1</f>
        <v>2022</v>
      </c>
      <c r="F97" s="331">
        <f>E97+1</f>
        <v>2023</v>
      </c>
      <c r="G97" s="15">
        <f>F97+1</f>
        <v>2024</v>
      </c>
      <c r="H97" s="15">
        <f t="shared" ref="H97:K97" si="51">G97+1</f>
        <v>2025</v>
      </c>
      <c r="I97" s="15">
        <f t="shared" si="51"/>
        <v>2026</v>
      </c>
      <c r="J97" s="15">
        <f t="shared" si="51"/>
        <v>2027</v>
      </c>
      <c r="K97" s="15">
        <f t="shared" si="51"/>
        <v>2028</v>
      </c>
    </row>
    <row r="98" spans="2:11" x14ac:dyDescent="0.2">
      <c r="B98" s="6"/>
    </row>
    <row r="99" spans="2:11" x14ac:dyDescent="0.2">
      <c r="B99" s="1" t="s">
        <v>60</v>
      </c>
      <c r="D99" s="9">
        <v>1.4999999999999999E-2</v>
      </c>
      <c r="E99" s="9">
        <v>1.4999999999999999E-2</v>
      </c>
      <c r="F99" s="9">
        <v>1.4999999999999999E-2</v>
      </c>
      <c r="G99" s="9">
        <v>1.4999999999999999E-2</v>
      </c>
      <c r="H99" s="9">
        <v>1.4999999999999999E-2</v>
      </c>
      <c r="I99" s="9">
        <v>1.4999999999999999E-2</v>
      </c>
      <c r="J99" s="9">
        <v>1.4999999999999999E-2</v>
      </c>
      <c r="K99" s="9">
        <v>1.4999999999999999E-2</v>
      </c>
    </row>
    <row r="100" spans="2:11" x14ac:dyDescent="0.2">
      <c r="B100" s="1" t="s">
        <v>41</v>
      </c>
      <c r="C100" s="68"/>
      <c r="D100" s="16">
        <f t="shared" ref="D100:K100" si="52">D99*D8</f>
        <v>1210.0125</v>
      </c>
      <c r="E100" s="16">
        <f t="shared" si="52"/>
        <v>1815.01875</v>
      </c>
      <c r="F100" s="16">
        <f t="shared" si="52"/>
        <v>2087.2715625000001</v>
      </c>
      <c r="G100" s="16">
        <f t="shared" si="52"/>
        <v>2254.2532874999997</v>
      </c>
      <c r="H100" s="16">
        <f t="shared" si="52"/>
        <v>2434.5935504999998</v>
      </c>
      <c r="I100" s="16">
        <f t="shared" si="52"/>
        <v>2629.3610345399993</v>
      </c>
      <c r="J100" s="16">
        <f t="shared" si="52"/>
        <v>2839.7099173031993</v>
      </c>
      <c r="K100" s="16">
        <f t="shared" si="52"/>
        <v>3066.8867106874554</v>
      </c>
    </row>
    <row r="102" spans="2:11" x14ac:dyDescent="0.2">
      <c r="B102" s="1" t="s">
        <v>50</v>
      </c>
      <c r="C102" s="23">
        <v>10</v>
      </c>
    </row>
    <row r="103" spans="2:11" x14ac:dyDescent="0.2">
      <c r="B103" s="1" t="s">
        <v>49</v>
      </c>
      <c r="C103" s="23">
        <v>10</v>
      </c>
    </row>
    <row r="104" spans="2:11" x14ac:dyDescent="0.2">
      <c r="B104" s="1" t="s">
        <v>61</v>
      </c>
      <c r="C104" s="141">
        <f>C32</f>
        <v>3440</v>
      </c>
    </row>
    <row r="106" spans="2:11" x14ac:dyDescent="0.2">
      <c r="B106" s="28" t="s">
        <v>13</v>
      </c>
      <c r="C106" s="21" t="s">
        <v>41</v>
      </c>
      <c r="D106" s="29">
        <f>D97</f>
        <v>2021</v>
      </c>
      <c r="E106" s="29">
        <f t="shared" ref="E106:K106" si="53">E97</f>
        <v>2022</v>
      </c>
      <c r="F106" s="29">
        <f t="shared" si="53"/>
        <v>2023</v>
      </c>
      <c r="G106" s="29">
        <f t="shared" si="53"/>
        <v>2024</v>
      </c>
      <c r="H106" s="29">
        <f t="shared" si="53"/>
        <v>2025</v>
      </c>
      <c r="I106" s="29">
        <f t="shared" si="53"/>
        <v>2026</v>
      </c>
      <c r="J106" s="29">
        <f t="shared" si="53"/>
        <v>2027</v>
      </c>
      <c r="K106" s="30">
        <f t="shared" si="53"/>
        <v>2028</v>
      </c>
    </row>
    <row r="107" spans="2:11" x14ac:dyDescent="0.2">
      <c r="B107" s="31"/>
      <c r="C107" s="32" cm="1">
        <f t="array" ref="C107:C114">TRANSPOSE(D100:K100)</f>
        <v>1210.0125</v>
      </c>
      <c r="D107" s="32">
        <f t="shared" ref="D107:K107" si="54">$C107/$C$103</f>
        <v>121.00125</v>
      </c>
      <c r="E107" s="32">
        <f t="shared" si="54"/>
        <v>121.00125</v>
      </c>
      <c r="F107" s="32">
        <f t="shared" si="54"/>
        <v>121.00125</v>
      </c>
      <c r="G107" s="32">
        <f t="shared" si="54"/>
        <v>121.00125</v>
      </c>
      <c r="H107" s="32">
        <f t="shared" si="54"/>
        <v>121.00125</v>
      </c>
      <c r="I107" s="32">
        <f t="shared" si="54"/>
        <v>121.00125</v>
      </c>
      <c r="J107" s="32">
        <f t="shared" si="54"/>
        <v>121.00125</v>
      </c>
      <c r="K107" s="33">
        <f t="shared" si="54"/>
        <v>121.00125</v>
      </c>
    </row>
    <row r="108" spans="2:11" x14ac:dyDescent="0.2">
      <c r="B108" s="31"/>
      <c r="C108" s="32">
        <v>1815.01875</v>
      </c>
      <c r="D108" s="32"/>
      <c r="E108" s="32">
        <f t="shared" ref="E108:K108" si="55">$C108/$C$103</f>
        <v>181.50187499999998</v>
      </c>
      <c r="F108" s="32">
        <f t="shared" si="55"/>
        <v>181.50187499999998</v>
      </c>
      <c r="G108" s="32">
        <f t="shared" si="55"/>
        <v>181.50187499999998</v>
      </c>
      <c r="H108" s="32">
        <f t="shared" si="55"/>
        <v>181.50187499999998</v>
      </c>
      <c r="I108" s="32">
        <f t="shared" si="55"/>
        <v>181.50187499999998</v>
      </c>
      <c r="J108" s="32">
        <f t="shared" si="55"/>
        <v>181.50187499999998</v>
      </c>
      <c r="K108" s="33">
        <f t="shared" si="55"/>
        <v>181.50187499999998</v>
      </c>
    </row>
    <row r="109" spans="2:11" x14ac:dyDescent="0.2">
      <c r="B109" s="31"/>
      <c r="C109" s="32">
        <v>2087.2715625000001</v>
      </c>
      <c r="D109" s="32"/>
      <c r="E109" s="32"/>
      <c r="F109" s="32">
        <f t="shared" ref="F109:K109" si="56">$C109/$C$103</f>
        <v>208.72715625000001</v>
      </c>
      <c r="G109" s="32">
        <f t="shared" si="56"/>
        <v>208.72715625000001</v>
      </c>
      <c r="H109" s="32">
        <f t="shared" si="56"/>
        <v>208.72715625000001</v>
      </c>
      <c r="I109" s="32">
        <f t="shared" si="56"/>
        <v>208.72715625000001</v>
      </c>
      <c r="J109" s="32">
        <f t="shared" si="56"/>
        <v>208.72715625000001</v>
      </c>
      <c r="K109" s="33">
        <f t="shared" si="56"/>
        <v>208.72715625000001</v>
      </c>
    </row>
    <row r="110" spans="2:11" x14ac:dyDescent="0.2">
      <c r="B110" s="31"/>
      <c r="C110" s="32">
        <v>2254.2532874999997</v>
      </c>
      <c r="D110" s="32"/>
      <c r="E110" s="32"/>
      <c r="F110" s="32"/>
      <c r="G110" s="32">
        <f>$C110/$C$103</f>
        <v>225.42532874999998</v>
      </c>
      <c r="H110" s="32">
        <f>$C110/$C$103</f>
        <v>225.42532874999998</v>
      </c>
      <c r="I110" s="32">
        <f>$C110/$C$103</f>
        <v>225.42532874999998</v>
      </c>
      <c r="J110" s="32">
        <f>$C110/$C$103</f>
        <v>225.42532874999998</v>
      </c>
      <c r="K110" s="33">
        <f>$C110/$C$103</f>
        <v>225.42532874999998</v>
      </c>
    </row>
    <row r="111" spans="2:11" x14ac:dyDescent="0.2">
      <c r="B111" s="31"/>
      <c r="C111" s="32">
        <v>2434.5935504999998</v>
      </c>
      <c r="D111" s="32"/>
      <c r="E111" s="32"/>
      <c r="F111" s="32"/>
      <c r="G111" s="32"/>
      <c r="H111" s="32">
        <f>$C111/$C$103</f>
        <v>243.45935504999997</v>
      </c>
      <c r="I111" s="32">
        <f>$C111/$C$103</f>
        <v>243.45935504999997</v>
      </c>
      <c r="J111" s="32">
        <f>$C111/$C$103</f>
        <v>243.45935504999997</v>
      </c>
      <c r="K111" s="33">
        <f>$C111/$C$103</f>
        <v>243.45935504999997</v>
      </c>
    </row>
    <row r="112" spans="2:11" x14ac:dyDescent="0.2">
      <c r="B112" s="31"/>
      <c r="C112" s="32">
        <v>2629.3610345399993</v>
      </c>
      <c r="D112" s="32"/>
      <c r="E112" s="32"/>
      <c r="F112" s="32"/>
      <c r="G112" s="32"/>
      <c r="H112" s="32"/>
      <c r="I112" s="32">
        <f>$C112/$C$103</f>
        <v>262.93610345399992</v>
      </c>
      <c r="J112" s="32">
        <f t="shared" ref="J112:K113" si="57">$C112/$C$103</f>
        <v>262.93610345399992</v>
      </c>
      <c r="K112" s="33">
        <f t="shared" si="57"/>
        <v>262.93610345399992</v>
      </c>
    </row>
    <row r="113" spans="1:11" x14ac:dyDescent="0.2">
      <c r="B113" s="31"/>
      <c r="C113" s="32">
        <v>2839.7099173031993</v>
      </c>
      <c r="D113" s="32"/>
      <c r="E113" s="32"/>
      <c r="F113" s="32"/>
      <c r="G113" s="32"/>
      <c r="H113" s="32"/>
      <c r="I113" s="32"/>
      <c r="J113" s="32">
        <f>$C113/$C$103</f>
        <v>283.97099173031995</v>
      </c>
      <c r="K113" s="33">
        <f t="shared" si="57"/>
        <v>283.97099173031995</v>
      </c>
    </row>
    <row r="114" spans="1:11" x14ac:dyDescent="0.2">
      <c r="B114" s="34"/>
      <c r="C114" s="35">
        <v>3066.8867106874554</v>
      </c>
      <c r="D114" s="35"/>
      <c r="E114" s="35"/>
      <c r="F114" s="35"/>
      <c r="G114" s="35"/>
      <c r="H114" s="35"/>
      <c r="I114" s="35"/>
      <c r="J114" s="35"/>
      <c r="K114" s="36">
        <f>$C114/$C$103</f>
        <v>306.68867106874552</v>
      </c>
    </row>
    <row r="116" spans="1:11" x14ac:dyDescent="0.2">
      <c r="B116" s="1" t="s">
        <v>46</v>
      </c>
      <c r="D116" s="4">
        <f>$C$104/$C$102</f>
        <v>344</v>
      </c>
      <c r="E116" s="4">
        <f t="shared" ref="E116:K116" si="58">$C$104/$C$102</f>
        <v>344</v>
      </c>
      <c r="F116" s="4">
        <f t="shared" si="58"/>
        <v>344</v>
      </c>
      <c r="G116" s="4">
        <f t="shared" si="58"/>
        <v>344</v>
      </c>
      <c r="H116" s="4">
        <f t="shared" si="58"/>
        <v>344</v>
      </c>
      <c r="I116" s="4">
        <f t="shared" si="58"/>
        <v>344</v>
      </c>
      <c r="J116" s="4">
        <f t="shared" si="58"/>
        <v>344</v>
      </c>
      <c r="K116" s="4">
        <f t="shared" si="58"/>
        <v>344</v>
      </c>
    </row>
    <row r="117" spans="1:11" x14ac:dyDescent="0.2">
      <c r="B117" s="1" t="s">
        <v>47</v>
      </c>
      <c r="D117" s="4">
        <f>SUM(D107:D114)</f>
        <v>121.00125</v>
      </c>
      <c r="E117" s="4">
        <f t="shared" ref="E117:K117" si="59">SUM(E107:E114)</f>
        <v>302.50312499999995</v>
      </c>
      <c r="F117" s="4">
        <f t="shared" si="59"/>
        <v>511.23028124999996</v>
      </c>
      <c r="G117" s="4">
        <f t="shared" si="59"/>
        <v>736.65560999999991</v>
      </c>
      <c r="H117" s="4">
        <f t="shared" si="59"/>
        <v>980.11496504999991</v>
      </c>
      <c r="I117" s="4">
        <f t="shared" si="59"/>
        <v>1243.0510685039999</v>
      </c>
      <c r="J117" s="4">
        <f t="shared" si="59"/>
        <v>1527.0220602343197</v>
      </c>
      <c r="K117" s="4">
        <f t="shared" si="59"/>
        <v>1833.7107313030651</v>
      </c>
    </row>
    <row r="118" spans="1:11" x14ac:dyDescent="0.2">
      <c r="B118" s="40" t="s">
        <v>48</v>
      </c>
      <c r="C118" s="40"/>
      <c r="D118" s="41">
        <f>SUM(D116:D117)</f>
        <v>465.00125000000003</v>
      </c>
      <c r="E118" s="41">
        <f t="shared" ref="E118:K118" si="60">SUM(E116:E117)</f>
        <v>646.50312499999995</v>
      </c>
      <c r="F118" s="41">
        <f t="shared" si="60"/>
        <v>855.23028124999996</v>
      </c>
      <c r="G118" s="41">
        <f t="shared" si="60"/>
        <v>1080.6556099999998</v>
      </c>
      <c r="H118" s="41">
        <f t="shared" si="60"/>
        <v>1324.1149650499999</v>
      </c>
      <c r="I118" s="41">
        <f t="shared" si="60"/>
        <v>1587.0510685039999</v>
      </c>
      <c r="J118" s="41">
        <f t="shared" si="60"/>
        <v>1871.0220602343197</v>
      </c>
      <c r="K118" s="41">
        <f t="shared" si="60"/>
        <v>2177.7107313030651</v>
      </c>
    </row>
    <row r="120" spans="1:11" x14ac:dyDescent="0.2">
      <c r="B120" s="1" t="s">
        <v>80</v>
      </c>
      <c r="D120" s="4">
        <f>C123</f>
        <v>3440</v>
      </c>
      <c r="E120" s="4">
        <f t="shared" ref="E120:K120" si="61">D123</f>
        <v>4185.0112499999996</v>
      </c>
      <c r="F120" s="4">
        <f t="shared" si="61"/>
        <v>5353.5268749999996</v>
      </c>
      <c r="G120" s="4">
        <f t="shared" si="61"/>
        <v>6585.5681562499994</v>
      </c>
      <c r="H120" s="4">
        <f t="shared" si="61"/>
        <v>7759.1658337499994</v>
      </c>
      <c r="I120" s="4">
        <f t="shared" si="61"/>
        <v>8869.6444191999999</v>
      </c>
      <c r="J120" s="4">
        <f t="shared" si="61"/>
        <v>9911.9543852360002</v>
      </c>
      <c r="K120" s="4">
        <f t="shared" si="61"/>
        <v>10880.642242304881</v>
      </c>
    </row>
    <row r="121" spans="1:11" x14ac:dyDescent="0.2">
      <c r="B121" s="1" t="s">
        <v>41</v>
      </c>
      <c r="D121" s="4">
        <f>D100</f>
        <v>1210.0125</v>
      </c>
      <c r="E121" s="4">
        <f t="shared" ref="E121:K121" si="62">E100</f>
        <v>1815.01875</v>
      </c>
      <c r="F121" s="4">
        <f t="shared" si="62"/>
        <v>2087.2715625000001</v>
      </c>
      <c r="G121" s="4">
        <f t="shared" si="62"/>
        <v>2254.2532874999997</v>
      </c>
      <c r="H121" s="4">
        <f t="shared" si="62"/>
        <v>2434.5935504999998</v>
      </c>
      <c r="I121" s="4">
        <f t="shared" si="62"/>
        <v>2629.3610345399993</v>
      </c>
      <c r="J121" s="4">
        <f t="shared" si="62"/>
        <v>2839.7099173031993</v>
      </c>
      <c r="K121" s="4">
        <f t="shared" si="62"/>
        <v>3066.8867106874554</v>
      </c>
    </row>
    <row r="122" spans="1:11" x14ac:dyDescent="0.2">
      <c r="B122" s="37" t="s">
        <v>13</v>
      </c>
      <c r="C122" s="37"/>
      <c r="D122" s="38">
        <f>-D118</f>
        <v>-465.00125000000003</v>
      </c>
      <c r="E122" s="38">
        <f t="shared" ref="E122:K122" si="63">-E118</f>
        <v>-646.50312499999995</v>
      </c>
      <c r="F122" s="38">
        <f t="shared" si="63"/>
        <v>-855.23028124999996</v>
      </c>
      <c r="G122" s="38">
        <f t="shared" si="63"/>
        <v>-1080.6556099999998</v>
      </c>
      <c r="H122" s="38">
        <f t="shared" si="63"/>
        <v>-1324.1149650499999</v>
      </c>
      <c r="I122" s="38">
        <f t="shared" si="63"/>
        <v>-1587.0510685039999</v>
      </c>
      <c r="J122" s="38">
        <f t="shared" si="63"/>
        <v>-1871.0220602343197</v>
      </c>
      <c r="K122" s="38">
        <f t="shared" si="63"/>
        <v>-2177.7107313030651</v>
      </c>
    </row>
    <row r="123" spans="1:11" x14ac:dyDescent="0.2">
      <c r="B123" s="6" t="s">
        <v>81</v>
      </c>
      <c r="C123" s="7">
        <f>C104</f>
        <v>3440</v>
      </c>
      <c r="D123" s="7">
        <f>SUM(D120:D122)</f>
        <v>4185.0112499999996</v>
      </c>
      <c r="E123" s="7">
        <f t="shared" ref="E123:K123" si="64">SUM(E120:E122)</f>
        <v>5353.5268749999996</v>
      </c>
      <c r="F123" s="7">
        <f t="shared" si="64"/>
        <v>6585.5681562499994</v>
      </c>
      <c r="G123" s="7">
        <f t="shared" si="64"/>
        <v>7759.1658337499994</v>
      </c>
      <c r="H123" s="7">
        <f t="shared" si="64"/>
        <v>8869.6444191999999</v>
      </c>
      <c r="I123" s="7">
        <f t="shared" si="64"/>
        <v>9911.9543852360002</v>
      </c>
      <c r="J123" s="7">
        <f t="shared" si="64"/>
        <v>10880.642242304881</v>
      </c>
      <c r="K123" s="7">
        <f t="shared" si="64"/>
        <v>11769.818221689271</v>
      </c>
    </row>
    <row r="124" spans="1:11" x14ac:dyDescent="0.2">
      <c r="B124" s="6"/>
      <c r="C124" s="7"/>
      <c r="D124" s="7"/>
      <c r="E124" s="7"/>
      <c r="F124" s="7"/>
      <c r="G124" s="7"/>
      <c r="H124" s="7"/>
      <c r="I124" s="7"/>
      <c r="J124" s="7"/>
      <c r="K124" s="7"/>
    </row>
    <row r="125" spans="1:11" x14ac:dyDescent="0.2">
      <c r="A125" s="1" t="s">
        <v>43</v>
      </c>
      <c r="B125" s="17" t="s">
        <v>70</v>
      </c>
      <c r="C125" s="14">
        <v>2020</v>
      </c>
      <c r="D125" s="14">
        <f>C125+1</f>
        <v>2021</v>
      </c>
      <c r="E125" s="14">
        <f>D125+1</f>
        <v>2022</v>
      </c>
      <c r="F125" s="331">
        <f>E125+1</f>
        <v>2023</v>
      </c>
      <c r="G125" s="15">
        <f>F125+1</f>
        <v>2024</v>
      </c>
      <c r="H125" s="15">
        <f t="shared" ref="H125:K125" si="65">G125+1</f>
        <v>2025</v>
      </c>
      <c r="I125" s="15">
        <f t="shared" si="65"/>
        <v>2026</v>
      </c>
      <c r="J125" s="15">
        <f t="shared" si="65"/>
        <v>2027</v>
      </c>
      <c r="K125" s="15">
        <f t="shared" si="65"/>
        <v>2028</v>
      </c>
    </row>
    <row r="126" spans="1:11" x14ac:dyDescent="0.2">
      <c r="B126" s="6"/>
    </row>
    <row r="127" spans="1:11" x14ac:dyDescent="0.2">
      <c r="B127" s="52" t="s">
        <v>74</v>
      </c>
      <c r="C127" s="53" t="s">
        <v>71</v>
      </c>
      <c r="D127" s="53" t="s">
        <v>72</v>
      </c>
      <c r="E127" s="53" t="s">
        <v>73</v>
      </c>
      <c r="F127" s="54" t="s">
        <v>76</v>
      </c>
      <c r="G127" s="9"/>
      <c r="H127" s="9"/>
      <c r="I127" s="9"/>
      <c r="J127" s="9"/>
      <c r="K127" s="9"/>
    </row>
    <row r="128" spans="1:11" x14ac:dyDescent="0.2">
      <c r="B128" s="47" t="s">
        <v>183</v>
      </c>
      <c r="C128" s="5">
        <v>37000</v>
      </c>
      <c r="D128" s="48">
        <v>6.5000000000000002E-2</v>
      </c>
      <c r="E128" s="5">
        <v>5</v>
      </c>
      <c r="F128" s="55">
        <v>2020</v>
      </c>
    </row>
    <row r="129" spans="2:11" x14ac:dyDescent="0.2">
      <c r="B129" s="49" t="s">
        <v>184</v>
      </c>
      <c r="C129" s="39">
        <v>22000</v>
      </c>
      <c r="D129" s="50">
        <v>0.125</v>
      </c>
      <c r="E129" s="39">
        <v>6</v>
      </c>
      <c r="F129" s="56">
        <v>2023</v>
      </c>
    </row>
    <row r="131" spans="2:11" x14ac:dyDescent="0.2">
      <c r="B131" s="6" t="s">
        <v>183</v>
      </c>
    </row>
    <row r="132" spans="2:11" x14ac:dyDescent="0.2">
      <c r="B132" s="1" t="s">
        <v>54</v>
      </c>
      <c r="C132" s="59">
        <f>C128</f>
        <v>37000</v>
      </c>
      <c r="D132" s="58">
        <f>C135</f>
        <v>30501.52210889299</v>
      </c>
      <c r="E132" s="58">
        <f t="shared" ref="E132:G132" si="66">D135</f>
        <v>23580.643154864025</v>
      </c>
      <c r="F132" s="58">
        <f t="shared" si="66"/>
        <v>16209.907068823179</v>
      </c>
      <c r="G132" s="58">
        <f t="shared" si="66"/>
        <v>8360.0731371896763</v>
      </c>
    </row>
    <row r="133" spans="2:11" x14ac:dyDescent="0.2">
      <c r="B133" s="51" t="s">
        <v>42</v>
      </c>
      <c r="C133" s="58">
        <f>$D$128*C132</f>
        <v>2405</v>
      </c>
      <c r="D133" s="58">
        <f t="shared" ref="D133:G133" si="67">$D$128*D132</f>
        <v>1982.5989370780444</v>
      </c>
      <c r="E133" s="58">
        <f t="shared" si="67"/>
        <v>1532.7418050661618</v>
      </c>
      <c r="F133" s="58">
        <f t="shared" si="67"/>
        <v>1053.6439594735066</v>
      </c>
      <c r="G133" s="58">
        <f t="shared" si="67"/>
        <v>543.404753917329</v>
      </c>
    </row>
    <row r="134" spans="2:11" x14ac:dyDescent="0.2">
      <c r="B134" s="60" t="s">
        <v>75</v>
      </c>
      <c r="C134" s="61">
        <f>PMT($D$128,$E$128,-$C$128)-C133</f>
        <v>6498.477891107008</v>
      </c>
      <c r="D134" s="61">
        <f t="shared" ref="D134:G134" si="68">PMT($D$128,$E$128,-$C$128)-D133</f>
        <v>6920.8789540289636</v>
      </c>
      <c r="E134" s="61">
        <f t="shared" si="68"/>
        <v>7370.7360860408462</v>
      </c>
      <c r="F134" s="61">
        <f t="shared" si="68"/>
        <v>7849.8339316335014</v>
      </c>
      <c r="G134" s="61">
        <f t="shared" si="68"/>
        <v>8360.0731371896782</v>
      </c>
      <c r="H134" s="37"/>
      <c r="I134" s="37"/>
      <c r="J134" s="37"/>
      <c r="K134" s="61"/>
    </row>
    <row r="135" spans="2:11" x14ac:dyDescent="0.2">
      <c r="B135" s="6" t="s">
        <v>55</v>
      </c>
      <c r="C135" s="57">
        <f>C132-C134</f>
        <v>30501.52210889299</v>
      </c>
      <c r="D135" s="57">
        <f t="shared" ref="D135:G135" si="69">D132-D134</f>
        <v>23580.643154864025</v>
      </c>
      <c r="E135" s="57">
        <f t="shared" si="69"/>
        <v>16209.907068823179</v>
      </c>
      <c r="F135" s="57">
        <f t="shared" si="69"/>
        <v>8360.0731371896763</v>
      </c>
      <c r="G135" s="57">
        <f t="shared" si="69"/>
        <v>0</v>
      </c>
      <c r="K135" s="58"/>
    </row>
    <row r="137" spans="2:11" x14ac:dyDescent="0.2">
      <c r="B137" s="6" t="s">
        <v>184</v>
      </c>
      <c r="C137" s="9"/>
    </row>
    <row r="138" spans="2:11" x14ac:dyDescent="0.2">
      <c r="B138" s="1" t="s">
        <v>54</v>
      </c>
      <c r="C138" s="4"/>
      <c r="F138" s="59">
        <f>C129</f>
        <v>22000</v>
      </c>
      <c r="G138" s="58">
        <f>F141</f>
        <v>19323.04481668938</v>
      </c>
      <c r="H138" s="58">
        <f>G141</f>
        <v>16311.470235464933</v>
      </c>
      <c r="I138" s="58">
        <f>H141</f>
        <v>12923.44883158743</v>
      </c>
      <c r="J138" s="58">
        <f>I141</f>
        <v>9111.9247522252372</v>
      </c>
      <c r="K138" s="58">
        <f t="shared" ref="K138" si="70">J141</f>
        <v>4823.9601629427707</v>
      </c>
    </row>
    <row r="139" spans="2:11" x14ac:dyDescent="0.2">
      <c r="B139" s="51" t="s">
        <v>42</v>
      </c>
      <c r="C139" s="44"/>
      <c r="F139" s="58">
        <f>$D$129*F138</f>
        <v>2750</v>
      </c>
      <c r="G139" s="58">
        <f>$D$129*G138</f>
        <v>2415.3806020861725</v>
      </c>
      <c r="H139" s="58">
        <f>$D$129*H138</f>
        <v>2038.9337794331166</v>
      </c>
      <c r="I139" s="58">
        <f>$D$129*I138</f>
        <v>1615.4311039484287</v>
      </c>
      <c r="J139" s="58">
        <f>$D$129*J138</f>
        <v>1138.9905940281546</v>
      </c>
      <c r="K139" s="58">
        <f t="shared" ref="K139" si="71">$D$129*K138</f>
        <v>602.99502036784634</v>
      </c>
    </row>
    <row r="140" spans="2:11" x14ac:dyDescent="0.2">
      <c r="B140" s="60" t="s">
        <v>75</v>
      </c>
      <c r="C140" s="62"/>
      <c r="D140" s="37"/>
      <c r="E140" s="37"/>
      <c r="F140" s="61">
        <f>PMT($D$129,$E$129,-$C$129)-F139</f>
        <v>2676.9551833106207</v>
      </c>
      <c r="G140" s="61">
        <f>PMT($D$129,$E$129,-$C$129)-G139</f>
        <v>3011.5745812244481</v>
      </c>
      <c r="H140" s="61">
        <f>PMT($D$129,$E$129,-$C$129)-H139</f>
        <v>3388.0214038775039</v>
      </c>
      <c r="I140" s="61">
        <f>PMT($D$129,$E$129,-$C$129)-I139</f>
        <v>3811.524079362192</v>
      </c>
      <c r="J140" s="61">
        <f>PMT($D$129,$E$129,-$C$129)-J139</f>
        <v>4287.9645892824665</v>
      </c>
      <c r="K140" s="61">
        <f t="shared" ref="K140" si="72">PMT($D$129,$E$129,-$C$129)-K139</f>
        <v>4823.9601629427743</v>
      </c>
    </row>
    <row r="141" spans="2:11" x14ac:dyDescent="0.2">
      <c r="B141" s="6" t="s">
        <v>55</v>
      </c>
      <c r="C141" s="44"/>
      <c r="F141" s="57">
        <f>F138-F140</f>
        <v>19323.04481668938</v>
      </c>
      <c r="G141" s="57">
        <f>G138-G140</f>
        <v>16311.470235464933</v>
      </c>
      <c r="H141" s="57">
        <f>H138-H140</f>
        <v>12923.44883158743</v>
      </c>
      <c r="I141" s="57">
        <f>I138-I140</f>
        <v>9111.9247522252372</v>
      </c>
      <c r="J141" s="57">
        <f>J138-J140</f>
        <v>4823.9601629427707</v>
      </c>
      <c r="K141" s="57">
        <f t="shared" ref="K141" si="73">K138-K140</f>
        <v>0</v>
      </c>
    </row>
    <row r="142" spans="2:11" x14ac:dyDescent="0.2">
      <c r="C142" s="44"/>
    </row>
    <row r="143" spans="2:11" x14ac:dyDescent="0.2">
      <c r="B143" s="63" t="s">
        <v>77</v>
      </c>
      <c r="C143" s="64">
        <f>C135+C141</f>
        <v>30501.52210889299</v>
      </c>
      <c r="D143" s="64">
        <f t="shared" ref="D143:K143" si="74">D135+D141</f>
        <v>23580.643154864025</v>
      </c>
      <c r="E143" s="64">
        <f t="shared" si="74"/>
        <v>16209.907068823179</v>
      </c>
      <c r="F143" s="64">
        <f t="shared" si="74"/>
        <v>27683.117953879057</v>
      </c>
      <c r="G143" s="64">
        <f t="shared" si="74"/>
        <v>16311.470235464933</v>
      </c>
      <c r="H143" s="64">
        <f t="shared" si="74"/>
        <v>12923.44883158743</v>
      </c>
      <c r="I143" s="64">
        <f t="shared" si="74"/>
        <v>9111.9247522252372</v>
      </c>
      <c r="J143" s="64">
        <f t="shared" si="74"/>
        <v>4823.9601629427707</v>
      </c>
      <c r="K143" s="65">
        <f t="shared" si="74"/>
        <v>0</v>
      </c>
    </row>
    <row r="144" spans="2:11" x14ac:dyDescent="0.2">
      <c r="B144" s="49" t="s">
        <v>78</v>
      </c>
      <c r="C144" s="61">
        <f>C133+C139</f>
        <v>2405</v>
      </c>
      <c r="D144" s="61">
        <f t="shared" ref="D144:K144" si="75">D133+D139</f>
        <v>1982.5989370780444</v>
      </c>
      <c r="E144" s="61">
        <f t="shared" si="75"/>
        <v>1532.7418050661618</v>
      </c>
      <c r="F144" s="61">
        <f t="shared" si="75"/>
        <v>3803.6439594735066</v>
      </c>
      <c r="G144" s="61">
        <f t="shared" si="75"/>
        <v>2958.7853560035014</v>
      </c>
      <c r="H144" s="61">
        <f t="shared" si="75"/>
        <v>2038.9337794331166</v>
      </c>
      <c r="I144" s="61">
        <f t="shared" si="75"/>
        <v>1615.4311039484287</v>
      </c>
      <c r="J144" s="61">
        <f t="shared" si="75"/>
        <v>1138.9905940281546</v>
      </c>
      <c r="K144" s="66">
        <f t="shared" si="75"/>
        <v>602.99502036784634</v>
      </c>
    </row>
    <row r="146" spans="1:11" x14ac:dyDescent="0.2">
      <c r="A146" s="1" t="s">
        <v>43</v>
      </c>
      <c r="B146" s="17" t="s">
        <v>51</v>
      </c>
      <c r="C146" s="14">
        <v>2020</v>
      </c>
      <c r="D146" s="14">
        <f>C146+1</f>
        <v>2021</v>
      </c>
      <c r="E146" s="14">
        <f>D146+1</f>
        <v>2022</v>
      </c>
      <c r="F146" s="331">
        <f>E146+1</f>
        <v>2023</v>
      </c>
      <c r="G146" s="15">
        <f>F146+1</f>
        <v>2024</v>
      </c>
      <c r="H146" s="15">
        <f t="shared" ref="H146:K146" si="76">G146+1</f>
        <v>2025</v>
      </c>
      <c r="I146" s="15">
        <f t="shared" si="76"/>
        <v>2026</v>
      </c>
      <c r="J146" s="15">
        <f t="shared" si="76"/>
        <v>2027</v>
      </c>
      <c r="K146" s="15">
        <f t="shared" si="76"/>
        <v>2028</v>
      </c>
    </row>
    <row r="147" spans="1:11" x14ac:dyDescent="0.2">
      <c r="B147" s="67"/>
      <c r="C147" s="69"/>
      <c r="D147" s="69"/>
      <c r="E147" s="69"/>
      <c r="F147" s="69"/>
      <c r="G147" s="70"/>
      <c r="H147" s="70"/>
      <c r="I147" s="70"/>
      <c r="J147" s="70"/>
      <c r="K147" s="70"/>
    </row>
    <row r="148" spans="1:11" x14ac:dyDescent="0.2">
      <c r="B148" s="68" t="s">
        <v>82</v>
      </c>
      <c r="C148" s="69"/>
      <c r="D148" s="10">
        <v>0.05</v>
      </c>
      <c r="E148" s="10">
        <v>0.05</v>
      </c>
      <c r="F148" s="10">
        <v>0.05</v>
      </c>
      <c r="G148" s="10">
        <v>0.8</v>
      </c>
      <c r="H148" s="10">
        <v>0.8</v>
      </c>
      <c r="I148" s="10">
        <v>0.8</v>
      </c>
      <c r="J148" s="10">
        <v>0.8</v>
      </c>
      <c r="K148" s="10">
        <v>0.8</v>
      </c>
    </row>
    <row r="149" spans="1:11" x14ac:dyDescent="0.2">
      <c r="B149" s="67"/>
      <c r="C149" s="69"/>
      <c r="D149" s="69"/>
      <c r="E149" s="69"/>
      <c r="F149" s="69"/>
      <c r="G149" s="70"/>
      <c r="H149" s="70"/>
      <c r="I149" s="70"/>
      <c r="J149" s="70"/>
      <c r="K149" s="70"/>
    </row>
    <row r="150" spans="1:11" x14ac:dyDescent="0.2">
      <c r="B150" s="1" t="s">
        <v>53</v>
      </c>
      <c r="C150" s="4"/>
      <c r="D150" s="4">
        <f>C153</f>
        <v>0</v>
      </c>
      <c r="E150" s="4">
        <f t="shared" ref="E150:K150" si="77">D153</f>
        <v>6638.8102845979274</v>
      </c>
      <c r="F150" s="4">
        <f t="shared" si="77"/>
        <v>17716.888302083273</v>
      </c>
      <c r="G150" s="4">
        <f t="shared" si="77"/>
        <v>28841.044722545277</v>
      </c>
      <c r="H150" s="4">
        <f t="shared" si="77"/>
        <v>31527.085231216719</v>
      </c>
      <c r="I150" s="4">
        <f t="shared" si="77"/>
        <v>34585.937485392387</v>
      </c>
      <c r="J150" s="4">
        <f t="shared" si="77"/>
        <v>37957.376374413223</v>
      </c>
      <c r="K150" s="4">
        <f t="shared" si="77"/>
        <v>41669.419933089535</v>
      </c>
    </row>
    <row r="151" spans="1:11" x14ac:dyDescent="0.2">
      <c r="B151" s="1" t="s">
        <v>18</v>
      </c>
      <c r="C151" s="4"/>
      <c r="D151" s="4">
        <f t="shared" ref="D151:K151" si="78">D19</f>
        <v>6988.2213522083448</v>
      </c>
      <c r="E151" s="4">
        <f t="shared" si="78"/>
        <v>11661.134755247729</v>
      </c>
      <c r="F151" s="4">
        <f t="shared" si="78"/>
        <v>11709.638337328424</v>
      </c>
      <c r="G151" s="4">
        <f t="shared" si="78"/>
        <v>13430.202543357223</v>
      </c>
      <c r="H151" s="4">
        <f t="shared" si="78"/>
        <v>15294.261270878331</v>
      </c>
      <c r="I151" s="4">
        <f t="shared" si="78"/>
        <v>16857.194445104178</v>
      </c>
      <c r="J151" s="4">
        <f t="shared" si="78"/>
        <v>18560.217793381562</v>
      </c>
      <c r="K151" s="4">
        <f t="shared" si="78"/>
        <v>20416.420469648809</v>
      </c>
    </row>
    <row r="152" spans="1:11" x14ac:dyDescent="0.2">
      <c r="B152" s="1" t="s">
        <v>33</v>
      </c>
      <c r="C152" s="16"/>
      <c r="D152" s="16">
        <f>-D148*D151</f>
        <v>-349.41106761041726</v>
      </c>
      <c r="E152" s="16">
        <f t="shared" ref="E152:K152" si="79">-E148*E151</f>
        <v>-583.05673776238643</v>
      </c>
      <c r="F152" s="16">
        <f t="shared" si="79"/>
        <v>-585.48191686642122</v>
      </c>
      <c r="G152" s="16">
        <f t="shared" si="79"/>
        <v>-10744.16203468578</v>
      </c>
      <c r="H152" s="16">
        <f t="shared" si="79"/>
        <v>-12235.409016702666</v>
      </c>
      <c r="I152" s="16">
        <f t="shared" si="79"/>
        <v>-13485.755556083343</v>
      </c>
      <c r="J152" s="16">
        <f t="shared" si="79"/>
        <v>-14848.17423470525</v>
      </c>
      <c r="K152" s="16">
        <f t="shared" si="79"/>
        <v>-16333.136375719048</v>
      </c>
    </row>
    <row r="153" spans="1:11" x14ac:dyDescent="0.2">
      <c r="B153" s="46" t="s">
        <v>52</v>
      </c>
      <c r="C153" s="75">
        <f>C44</f>
        <v>0</v>
      </c>
      <c r="D153" s="75">
        <f>SUM(D150:D152)</f>
        <v>6638.8102845979274</v>
      </c>
      <c r="E153" s="75">
        <f t="shared" ref="E153:K153" si="80">SUM(E150:E152)</f>
        <v>17716.888302083273</v>
      </c>
      <c r="F153" s="75">
        <f t="shared" si="80"/>
        <v>28841.044722545277</v>
      </c>
      <c r="G153" s="75">
        <f t="shared" si="80"/>
        <v>31527.085231216719</v>
      </c>
      <c r="H153" s="75">
        <f t="shared" si="80"/>
        <v>34585.937485392387</v>
      </c>
      <c r="I153" s="75">
        <f t="shared" si="80"/>
        <v>37957.376374413223</v>
      </c>
      <c r="J153" s="75">
        <f t="shared" si="80"/>
        <v>41669.419933089535</v>
      </c>
      <c r="K153" s="75">
        <f t="shared" si="80"/>
        <v>45752.704027019296</v>
      </c>
    </row>
    <row r="162" s="6" customFormat="1" x14ac:dyDescent="0.2"/>
    <row r="185" spans="1:1" x14ac:dyDescent="0.2">
      <c r="A185" s="1" t="s">
        <v>43</v>
      </c>
    </row>
  </sheetData>
  <pageMargins left="0.7" right="0.7" top="0.75" bottom="0.75" header="0.3" footer="0.3"/>
  <pageSetup paperSize="9" orientation="portrait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DEE1B-76D7-4C1D-8C62-373D395AD917}">
  <dimension ref="B3:P65"/>
  <sheetViews>
    <sheetView showGridLines="0" topLeftCell="A19" workbookViewId="0">
      <selection activeCell="G37" sqref="G37"/>
    </sheetView>
  </sheetViews>
  <sheetFormatPr defaultRowHeight="12.75" x14ac:dyDescent="0.2"/>
  <cols>
    <col min="1" max="1" width="9" style="1"/>
    <col min="2" max="2" width="20.75" style="1" bestFit="1" customWidth="1"/>
    <col min="3" max="3" width="9" style="1"/>
    <col min="4" max="4" width="2.125" style="1" customWidth="1"/>
    <col min="5" max="9" width="9" style="1"/>
    <col min="10" max="10" width="2.125" style="1" customWidth="1"/>
    <col min="11" max="11" width="9" style="1" customWidth="1"/>
    <col min="12" max="12" width="20.625" style="1" customWidth="1"/>
    <col min="13" max="16384" width="9" style="1"/>
  </cols>
  <sheetData>
    <row r="3" spans="2:16" x14ac:dyDescent="0.2">
      <c r="B3" s="239"/>
      <c r="C3" s="1" t="s">
        <v>242</v>
      </c>
      <c r="E3" s="1" t="s">
        <v>233</v>
      </c>
      <c r="F3" s="1" t="s">
        <v>211</v>
      </c>
      <c r="G3" s="1" t="s">
        <v>234</v>
      </c>
      <c r="H3" s="1" t="s">
        <v>243</v>
      </c>
      <c r="L3" s="1" t="s">
        <v>242</v>
      </c>
      <c r="M3" s="1" t="s">
        <v>233</v>
      </c>
      <c r="N3" s="1" t="s">
        <v>211</v>
      </c>
      <c r="O3" s="1" t="s">
        <v>234</v>
      </c>
      <c r="P3" s="1" t="s">
        <v>243</v>
      </c>
    </row>
    <row r="4" spans="2:16" x14ac:dyDescent="0.2">
      <c r="B4" s="239" t="str">
        <f>Valuation!C11</f>
        <v>EV / EBITDA</v>
      </c>
      <c r="C4" s="1">
        <v>151520.45416666663</v>
      </c>
      <c r="E4" s="1">
        <v>159789.62823033702</v>
      </c>
      <c r="F4" s="1">
        <v>183300.3935795454</v>
      </c>
      <c r="G4" s="1">
        <v>201529.66810344823</v>
      </c>
      <c r="H4" s="1">
        <v>212522.19545454538</v>
      </c>
      <c r="K4" s="239" t="s">
        <v>256</v>
      </c>
      <c r="L4" s="1">
        <f>C4</f>
        <v>151520.45416666663</v>
      </c>
      <c r="M4" s="1">
        <f>E4-C4</f>
        <v>8269.1740636703908</v>
      </c>
      <c r="N4" s="1">
        <f t="shared" ref="N4:P6" si="0">F4-E4</f>
        <v>23510.765349208377</v>
      </c>
      <c r="O4" s="1">
        <f t="shared" si="0"/>
        <v>18229.27452390283</v>
      </c>
      <c r="P4" s="1">
        <f t="shared" si="0"/>
        <v>10992.527351097146</v>
      </c>
    </row>
    <row r="5" spans="2:16" x14ac:dyDescent="0.2">
      <c r="B5" s="6" t="str">
        <f>Valuation!C12</f>
        <v>EV / Revenue</v>
      </c>
      <c r="C5" s="1">
        <v>139151.4375</v>
      </c>
      <c r="E5" s="1">
        <v>149855.39423076922</v>
      </c>
      <c r="F5" s="1">
        <v>157529.92924528301</v>
      </c>
      <c r="G5" s="1">
        <v>193265.88541666666</v>
      </c>
      <c r="H5" s="1">
        <v>205213.23106060605</v>
      </c>
      <c r="K5" s="239" t="s">
        <v>257</v>
      </c>
      <c r="L5" s="1">
        <f t="shared" ref="L5:L6" si="1">C5</f>
        <v>139151.4375</v>
      </c>
      <c r="M5" s="1">
        <f t="shared" ref="M5:M6" si="2">E5-C5</f>
        <v>10703.95673076922</v>
      </c>
      <c r="N5" s="1">
        <f t="shared" si="0"/>
        <v>7674.5350145137927</v>
      </c>
      <c r="O5" s="1">
        <f t="shared" si="0"/>
        <v>35735.956171383645</v>
      </c>
      <c r="P5" s="1">
        <f t="shared" si="0"/>
        <v>11947.345643939392</v>
      </c>
    </row>
    <row r="6" spans="2:16" x14ac:dyDescent="0.2">
      <c r="B6" s="6" t="str">
        <f>Valuation!C14</f>
        <v>TGR 2.0% - 3.0%, WACC 10.5% - 12.5% - Base Case</v>
      </c>
      <c r="C6" s="1">
        <v>142208.48474828256</v>
      </c>
      <c r="E6" s="1">
        <v>161380.44368734141</v>
      </c>
      <c r="F6" s="1">
        <v>173826.40778482612</v>
      </c>
      <c r="G6" s="1">
        <v>187070.89225151145</v>
      </c>
      <c r="H6" s="1">
        <v>209565.0746177196</v>
      </c>
      <c r="K6" s="239" t="s">
        <v>258</v>
      </c>
      <c r="L6" s="1">
        <f t="shared" si="1"/>
        <v>142208.48474828256</v>
      </c>
      <c r="M6" s="1">
        <f t="shared" si="2"/>
        <v>19171.958939058852</v>
      </c>
      <c r="N6" s="1">
        <f t="shared" si="0"/>
        <v>12445.964097484713</v>
      </c>
      <c r="O6" s="1">
        <f t="shared" si="0"/>
        <v>13244.484466685331</v>
      </c>
      <c r="P6" s="1">
        <f t="shared" si="0"/>
        <v>22494.182366208144</v>
      </c>
    </row>
    <row r="7" spans="2:16" x14ac:dyDescent="0.2">
      <c r="B7" s="6" t="str">
        <f>Valuation!C15</f>
        <v>Terminal EBITDA Multiple 9x - 11x - Base Case</v>
      </c>
      <c r="C7" s="1">
        <v>150465.48714322961</v>
      </c>
      <c r="E7" s="1">
        <v>161276.16983997298</v>
      </c>
      <c r="F7" s="1">
        <v>167753.509321694</v>
      </c>
      <c r="G7" s="1">
        <v>174315.91941359211</v>
      </c>
      <c r="H7" s="1">
        <v>186141.00636192641</v>
      </c>
      <c r="K7" s="239" t="s">
        <v>259</v>
      </c>
      <c r="L7" s="1">
        <f t="shared" ref="L7:L8" si="3">C7</f>
        <v>150465.48714322961</v>
      </c>
      <c r="M7" s="1">
        <f t="shared" ref="M7:M8" si="4">E7-C7</f>
        <v>10810.682696743374</v>
      </c>
      <c r="N7" s="1">
        <f t="shared" ref="N7:N8" si="5">F7-E7</f>
        <v>6477.339481721021</v>
      </c>
      <c r="O7" s="1">
        <f t="shared" ref="O7:O8" si="6">G7-F7</f>
        <v>6562.410091898113</v>
      </c>
      <c r="P7" s="1">
        <f t="shared" ref="P7:P8" si="7">H7-G7</f>
        <v>11825.086948334298</v>
      </c>
    </row>
    <row r="8" spans="2:16" x14ac:dyDescent="0.2">
      <c r="B8" s="6" t="str">
        <f>Valuation!C17</f>
        <v>3.25x  -  4.75x debt, Exit Price 8x EBITDA</v>
      </c>
      <c r="C8" s="1">
        <v>147346.15760425109</v>
      </c>
      <c r="E8" s="1">
        <v>159268.31635599214</v>
      </c>
      <c r="F8" s="1">
        <v>166014.84822694352</v>
      </c>
      <c r="G8" s="1">
        <v>172345.64906805122</v>
      </c>
      <c r="H8" s="1">
        <v>183116.04100446415</v>
      </c>
      <c r="K8" s="239" t="s">
        <v>261</v>
      </c>
      <c r="L8" s="1">
        <f t="shared" si="3"/>
        <v>147346.15760425109</v>
      </c>
      <c r="M8" s="1">
        <f t="shared" si="4"/>
        <v>11922.158751741052</v>
      </c>
      <c r="N8" s="1">
        <f t="shared" si="5"/>
        <v>6746.5318709513813</v>
      </c>
      <c r="O8" s="1">
        <f t="shared" si="6"/>
        <v>6330.8008411077026</v>
      </c>
      <c r="P8" s="1">
        <f t="shared" si="7"/>
        <v>10770.391936412925</v>
      </c>
    </row>
    <row r="33" spans="2:14" x14ac:dyDescent="0.2">
      <c r="E33" s="14">
        <v>2021</v>
      </c>
      <c r="F33" s="14">
        <v>2022</v>
      </c>
      <c r="G33" s="331">
        <v>2023</v>
      </c>
      <c r="H33" s="15">
        <v>2024</v>
      </c>
      <c r="I33" s="15">
        <v>2025</v>
      </c>
    </row>
    <row r="34" spans="2:14" x14ac:dyDescent="0.2">
      <c r="C34" s="1" t="s">
        <v>3</v>
      </c>
      <c r="E34" s="1">
        <v>80667.5</v>
      </c>
      <c r="F34" s="1">
        <v>121001.25</v>
      </c>
      <c r="G34" s="1">
        <v>139151.4375</v>
      </c>
      <c r="H34" s="1">
        <v>150283.55249999999</v>
      </c>
      <c r="I34" s="1">
        <v>162306.23669999998</v>
      </c>
    </row>
    <row r="35" spans="2:14" x14ac:dyDescent="0.2">
      <c r="C35" s="1" t="s">
        <v>262</v>
      </c>
      <c r="E35" s="11">
        <f>POWER(I34/E34,(1/5))-1</f>
        <v>0.15007806945216107</v>
      </c>
    </row>
    <row r="42" spans="2:14" x14ac:dyDescent="0.2">
      <c r="K42" s="277"/>
      <c r="L42" s="278"/>
      <c r="N42" s="321" t="s">
        <v>276</v>
      </c>
    </row>
    <row r="43" spans="2:14" ht="13.5" thickBot="1" x14ac:dyDescent="0.25">
      <c r="B43" s="272"/>
      <c r="C43" s="334">
        <f>DCF!O40</f>
        <v>2023</v>
      </c>
      <c r="D43" s="273"/>
      <c r="E43" s="274">
        <f>DCF!P40</f>
        <v>2024</v>
      </c>
      <c r="F43" s="274">
        <f>DCF!Q40</f>
        <v>2025</v>
      </c>
      <c r="G43" s="274">
        <f>DCF!R40</f>
        <v>2026</v>
      </c>
      <c r="H43" s="274">
        <f>DCF!S40</f>
        <v>2027</v>
      </c>
      <c r="I43" s="274">
        <f>DCF!T40</f>
        <v>2028</v>
      </c>
      <c r="K43" s="278"/>
      <c r="L43" s="322" t="s">
        <v>161</v>
      </c>
      <c r="M43" s="322"/>
      <c r="N43" s="323" t="s">
        <v>137</v>
      </c>
    </row>
    <row r="44" spans="2:14" x14ac:dyDescent="0.2">
      <c r="B44" s="1" t="str">
        <f>DCF!B43</f>
        <v>Revenue</v>
      </c>
      <c r="C44" s="296">
        <f>DCF!O43</f>
        <v>139151.4375</v>
      </c>
      <c r="D44" s="297"/>
      <c r="E44" s="296">
        <f ca="1">DCF!P43</f>
        <v>150283.55250000002</v>
      </c>
      <c r="F44" s="296">
        <f ca="1">DCF!Q43</f>
        <v>162306.23670000004</v>
      </c>
      <c r="G44" s="296">
        <f ca="1">DCF!R43</f>
        <v>175290.73563600006</v>
      </c>
      <c r="H44" s="296">
        <f ca="1">DCF!S43</f>
        <v>189313.99448688008</v>
      </c>
      <c r="I44" s="296">
        <f ca="1">DCF!T43</f>
        <v>204459.1140458305</v>
      </c>
      <c r="L44" s="1" t="str">
        <f>LBO!B25</f>
        <v>Senior Debt</v>
      </c>
      <c r="M44" s="318">
        <f>LBO!E25</f>
        <v>48703.003124999974</v>
      </c>
      <c r="N44" s="42">
        <f>LBO!G25</f>
        <v>0.30659819136477573</v>
      </c>
    </row>
    <row r="45" spans="2:14" ht="13.5" thickBot="1" x14ac:dyDescent="0.25">
      <c r="B45" s="103" t="str">
        <f>DCF!B44</f>
        <v>% growth</v>
      </c>
      <c r="C45" s="288">
        <f>DCF!O44</f>
        <v>0.14999999999999991</v>
      </c>
      <c r="D45" s="284"/>
      <c r="E45" s="88">
        <f ca="1">DCF!P44</f>
        <v>0.08</v>
      </c>
      <c r="F45" s="88">
        <f ca="1">DCF!Q44</f>
        <v>0.08</v>
      </c>
      <c r="G45" s="88">
        <f ca="1">DCF!R44</f>
        <v>0.08</v>
      </c>
      <c r="H45" s="88">
        <f ca="1">DCF!S44</f>
        <v>0.08</v>
      </c>
      <c r="I45" s="88">
        <f ca="1">DCF!T44</f>
        <v>0.08</v>
      </c>
      <c r="L45" s="1" t="str">
        <f>LBO!B26</f>
        <v>Sub Debt</v>
      </c>
      <c r="M45" s="296">
        <f>LBO!E26</f>
        <v>29221.801874999986</v>
      </c>
      <c r="N45" s="42">
        <f>LBO!G26</f>
        <v>0.18395891481886548</v>
      </c>
    </row>
    <row r="46" spans="2:14" ht="13.5" thickBot="1" x14ac:dyDescent="0.25">
      <c r="B46" s="275" t="str">
        <f>DCF!B49</f>
        <v>EBIT</v>
      </c>
      <c r="C46" s="298">
        <f>DCF!O49</f>
        <v>18625.970968749993</v>
      </c>
      <c r="D46" s="300"/>
      <c r="E46" s="298">
        <f ca="1">DCF!P49</f>
        <v>19536.861825000004</v>
      </c>
      <c r="F46" s="298">
        <f ca="1">DCF!Q49</f>
        <v>21099.810771000004</v>
      </c>
      <c r="G46" s="298">
        <f ca="1">DCF!R49</f>
        <v>22787.795632680009</v>
      </c>
      <c r="H46" s="298">
        <f ca="1">DCF!S49</f>
        <v>24610.819283294411</v>
      </c>
      <c r="I46" s="298">
        <f ca="1">DCF!T49</f>
        <v>26579.684825957967</v>
      </c>
      <c r="L46" s="316" t="s">
        <v>127</v>
      </c>
      <c r="M46" s="320">
        <f>LBO!E27</f>
        <v>77924.804999999964</v>
      </c>
      <c r="N46" s="317">
        <f>LBO!G27</f>
        <v>0.49055710618364123</v>
      </c>
    </row>
    <row r="47" spans="2:14" x14ac:dyDescent="0.2">
      <c r="B47" s="103" t="str">
        <f>DCF!B50</f>
        <v>% of sales</v>
      </c>
      <c r="C47" s="299">
        <f>DCF!O50</f>
        <v>0.13385396014144657</v>
      </c>
      <c r="D47" s="284"/>
      <c r="E47" s="88">
        <f ca="1">DCF!P50</f>
        <v>0.13</v>
      </c>
      <c r="F47" s="88">
        <f ca="1">DCF!Q50</f>
        <v>0.13</v>
      </c>
      <c r="G47" s="88">
        <f ca="1">DCF!R50</f>
        <v>0.13</v>
      </c>
      <c r="H47" s="88">
        <f ca="1">DCF!S50</f>
        <v>0.13</v>
      </c>
      <c r="I47" s="88">
        <f ca="1">DCF!T50</f>
        <v>0.13</v>
      </c>
      <c r="M47" s="296"/>
    </row>
    <row r="48" spans="2:14" x14ac:dyDescent="0.2">
      <c r="B48" s="1" t="s">
        <v>265</v>
      </c>
      <c r="C48" s="95"/>
      <c r="D48" s="286"/>
      <c r="E48" s="296">
        <f ca="1">DCF!P55</f>
        <v>4102.7409832500007</v>
      </c>
      <c r="F48" s="296">
        <f ca="1">DCF!Q55</f>
        <v>4430.9602619100006</v>
      </c>
      <c r="G48" s="296">
        <f ca="1">DCF!R55</f>
        <v>4785.4370828628016</v>
      </c>
      <c r="H48" s="296">
        <f ca="1">DCF!S55</f>
        <v>5168.2720494918258</v>
      </c>
      <c r="I48" s="296">
        <f ca="1">DCF!T55</f>
        <v>5581.7338134511729</v>
      </c>
      <c r="L48" s="1" t="str">
        <f>LBO!B29</f>
        <v>Sponsor Equity</v>
      </c>
      <c r="M48" s="296">
        <f>LBO!E29</f>
        <v>60693.603749999973</v>
      </c>
      <c r="N48" s="42">
        <f>LBO!G29</f>
        <v>0.38208217036226905</v>
      </c>
    </row>
    <row r="49" spans="2:14" ht="13.5" thickBot="1" x14ac:dyDescent="0.25">
      <c r="B49" s="103" t="s">
        <v>266</v>
      </c>
      <c r="C49" s="288"/>
      <c r="D49" s="284"/>
      <c r="E49" s="88">
        <f>DCF!P56</f>
        <v>0.21</v>
      </c>
      <c r="F49" s="88">
        <f>DCF!Q56</f>
        <v>0.21</v>
      </c>
      <c r="G49" s="88">
        <f>DCF!R56</f>
        <v>0.21</v>
      </c>
      <c r="H49" s="88">
        <f>DCF!S56</f>
        <v>0.21</v>
      </c>
      <c r="I49" s="88">
        <f>DCF!T56</f>
        <v>0.21</v>
      </c>
      <c r="L49" s="1" t="str">
        <f>LBO!B30</f>
        <v>Rollover Equity</v>
      </c>
      <c r="M49" s="296">
        <f>LBO!E30</f>
        <v>20231.201249999991</v>
      </c>
      <c r="N49" s="42">
        <f>LBO!G30</f>
        <v>0.12736072345408969</v>
      </c>
    </row>
    <row r="50" spans="2:14" ht="13.5" thickBot="1" x14ac:dyDescent="0.25">
      <c r="B50" s="275" t="s">
        <v>267</v>
      </c>
      <c r="C50" s="276"/>
      <c r="D50" s="285"/>
      <c r="E50" s="298">
        <f ca="1">DCF!P58</f>
        <v>15434.120841750002</v>
      </c>
      <c r="F50" s="298">
        <f ca="1">DCF!Q58</f>
        <v>16668.850509090003</v>
      </c>
      <c r="G50" s="298">
        <f ca="1">DCF!R58</f>
        <v>18002.358549817207</v>
      </c>
      <c r="H50" s="298">
        <f ca="1">DCF!S58</f>
        <v>19442.547233802587</v>
      </c>
      <c r="I50" s="298">
        <f ca="1">DCF!T58</f>
        <v>20997.951012506794</v>
      </c>
      <c r="L50" s="316" t="s">
        <v>275</v>
      </c>
      <c r="M50" s="320">
        <f>LBO!E31</f>
        <v>80924.804999999964</v>
      </c>
      <c r="N50" s="317">
        <f>LBO!G31</f>
        <v>0.50944289381635877</v>
      </c>
    </row>
    <row r="51" spans="2:14" ht="13.5" thickBot="1" x14ac:dyDescent="0.25">
      <c r="B51" s="1" t="s">
        <v>83</v>
      </c>
      <c r="D51" s="287"/>
      <c r="E51" s="296">
        <f>DCF!P60</f>
        <v>1080.6556099999998</v>
      </c>
      <c r="F51" s="296">
        <f>DCF!Q60</f>
        <v>1324.1149650499999</v>
      </c>
      <c r="G51" s="296">
        <f>DCF!R60</f>
        <v>1587.0510685039999</v>
      </c>
      <c r="H51" s="296">
        <f>DCF!S60</f>
        <v>1871.0220602343197</v>
      </c>
      <c r="I51" s="296">
        <f>DCF!T60</f>
        <v>2177.7107313030651</v>
      </c>
      <c r="M51" s="318"/>
    </row>
    <row r="52" spans="2:14" ht="13.5" thickBot="1" x14ac:dyDescent="0.25">
      <c r="B52" s="1" t="s">
        <v>268</v>
      </c>
      <c r="D52" s="287"/>
      <c r="E52" s="296">
        <f>DCF!P63</f>
        <v>2254.2532874999997</v>
      </c>
      <c r="F52" s="296">
        <f>DCF!Q63</f>
        <v>2434.5935504999998</v>
      </c>
      <c r="G52" s="296">
        <f>DCF!R63</f>
        <v>2629.3610345399993</v>
      </c>
      <c r="H52" s="296">
        <f>DCF!S63</f>
        <v>2839.7099173031993</v>
      </c>
      <c r="I52" s="296">
        <f>DCF!T63</f>
        <v>3066.8867106874554</v>
      </c>
      <c r="L52" s="275" t="str">
        <f>LBO!B33</f>
        <v>Total Sources</v>
      </c>
      <c r="M52" s="319">
        <f>LBO!E33</f>
        <v>158849.60999999993</v>
      </c>
      <c r="N52" s="315">
        <f>LBO!G33</f>
        <v>1</v>
      </c>
    </row>
    <row r="53" spans="2:14" ht="13.5" thickBot="1" x14ac:dyDescent="0.25">
      <c r="B53" s="1" t="s">
        <v>269</v>
      </c>
      <c r="D53" s="287"/>
      <c r="E53" s="296">
        <f>DCF!P66</f>
        <v>1560.7225229999958</v>
      </c>
      <c r="F53" s="296">
        <f>DCF!Q66</f>
        <v>1685.580324840003</v>
      </c>
      <c r="G53" s="296">
        <f>DCF!R66</f>
        <v>1820.4267508271928</v>
      </c>
      <c r="H53" s="296">
        <f>DCF!S66</f>
        <v>1966.0608908933791</v>
      </c>
      <c r="I53" s="296">
        <f>DCF!T66</f>
        <v>2123.3457621648458</v>
      </c>
    </row>
    <row r="54" spans="2:14" ht="13.5" thickBot="1" x14ac:dyDescent="0.25">
      <c r="B54" s="275" t="s">
        <v>105</v>
      </c>
      <c r="C54" s="276"/>
      <c r="D54" s="285"/>
      <c r="E54" s="298">
        <f ca="1">DCF!P69</f>
        <v>12699.800641250007</v>
      </c>
      <c r="F54" s="298">
        <f ca="1">DCF!Q69</f>
        <v>13872.791598800002</v>
      </c>
      <c r="G54" s="298">
        <f ca="1">DCF!R69</f>
        <v>15139.621832954015</v>
      </c>
      <c r="H54" s="298">
        <f ca="1">DCF!S69</f>
        <v>16507.798485840325</v>
      </c>
      <c r="I54" s="298">
        <f ca="1">DCF!T69</f>
        <v>17985.429270957557</v>
      </c>
    </row>
    <row r="55" spans="2:14" x14ac:dyDescent="0.2">
      <c r="L55" s="278"/>
      <c r="N55" s="321" t="s">
        <v>276</v>
      </c>
    </row>
    <row r="56" spans="2:14" ht="13.5" thickBot="1" x14ac:dyDescent="0.25">
      <c r="F56" s="1">
        <f>LBO!H24</f>
        <v>0</v>
      </c>
      <c r="L56" s="322" t="s">
        <v>162</v>
      </c>
      <c r="M56" s="322"/>
      <c r="N56" s="323" t="s">
        <v>137</v>
      </c>
    </row>
    <row r="57" spans="2:14" x14ac:dyDescent="0.2">
      <c r="L57" s="1" t="str">
        <f>LBO!K26</f>
        <v>Equity Payment</v>
      </c>
      <c r="M57" s="296">
        <f>LBO!N26</f>
        <v>128166.49204612087</v>
      </c>
      <c r="N57" s="42">
        <f>LBO!P26</f>
        <v>0.8068417168044727</v>
      </c>
    </row>
    <row r="58" spans="2:14" x14ac:dyDescent="0.2">
      <c r="L58" s="1" t="s">
        <v>277</v>
      </c>
      <c r="M58" s="296">
        <f>LBO!N25</f>
        <v>27683.117953879057</v>
      </c>
      <c r="N58" s="42">
        <f>LBO!P25</f>
        <v>0.17427249556280983</v>
      </c>
    </row>
    <row r="60" spans="2:14" x14ac:dyDescent="0.2">
      <c r="L60" s="1" t="str">
        <f>LBO!K28</f>
        <v>Fees &amp; Expenses</v>
      </c>
      <c r="M60" s="296">
        <f>LBO!N28</f>
        <v>3000</v>
      </c>
      <c r="N60" s="42">
        <f>LBO!P28</f>
        <v>1.8885787632717522E-2</v>
      </c>
    </row>
    <row r="61" spans="2:14" x14ac:dyDescent="0.2">
      <c r="M61" s="296"/>
      <c r="N61" s="183"/>
    </row>
    <row r="62" spans="2:14" x14ac:dyDescent="0.2">
      <c r="M62" s="296"/>
      <c r="N62" s="183"/>
    </row>
    <row r="63" spans="2:14" x14ac:dyDescent="0.2">
      <c r="M63" s="296"/>
      <c r="N63" s="183"/>
    </row>
    <row r="64" spans="2:14" ht="13.5" thickBot="1" x14ac:dyDescent="0.25">
      <c r="M64" s="318"/>
    </row>
    <row r="65" spans="12:14" ht="13.5" thickBot="1" x14ac:dyDescent="0.25">
      <c r="L65" s="275" t="str">
        <f>LBO!K33</f>
        <v>Total Uses</v>
      </c>
      <c r="M65" s="319">
        <f>LBO!N33</f>
        <v>158849.60999999993</v>
      </c>
      <c r="N65" s="315">
        <f>LBO!P33</f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B45D48646B844BCF67175E7EDD4C7" ma:contentTypeVersion="25" ma:contentTypeDescription="Create a new document." ma:contentTypeScope="" ma:versionID="33f624f548c30d8243a9fd905e457e0a">
  <xsd:schema xmlns:xsd="http://www.w3.org/2001/XMLSchema" xmlns:xs="http://www.w3.org/2001/XMLSchema" xmlns:p="http://schemas.microsoft.com/office/2006/metadata/properties" xmlns:ns2="6423d52d-cc33-4d55-a30a-79dd6b3aa391" xmlns:ns3="01961662-24f8-48fa-8e1b-d6aec199e9f1" targetNamespace="http://schemas.microsoft.com/office/2006/metadata/properties" ma:root="true" ma:fieldsID="6a5d9e74c8d8c82d092558e57a41c457" ns2:_="" ns3:_="">
    <xsd:import namespace="6423d52d-cc33-4d55-a30a-79dd6b3aa391"/>
    <xsd:import namespace="01961662-24f8-48fa-8e1b-d6aec199e9f1"/>
    <xsd:element name="properties">
      <xsd:complexType>
        <xsd:sequence>
          <xsd:element name="documentManagement">
            <xsd:complexType>
              <xsd:all>
                <xsd:element ref="ns2: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Progress" minOccurs="0"/>
                <xsd:element ref="ns2:Support" minOccurs="0"/>
                <xsd:element ref="ns2:MediaServiceObjectDetectorVersions" minOccurs="0"/>
                <xsd:element ref="ns2:Tobe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23d52d-cc33-4d55-a30a-79dd6b3aa391" elementFormDefault="qualified">
    <xsd:import namespace="http://schemas.microsoft.com/office/2006/documentManagement/types"/>
    <xsd:import namespace="http://schemas.microsoft.com/office/infopath/2007/PartnerControls"/>
    <xsd:element name="Details" ma:index="3" nillable="true" ma:displayName="Details" ma:format="Dropdown" ma:internalName="Details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hidden="true" ma:internalName="MediaServiceOCR" ma:readOnly="true">
      <xsd:simpleType>
        <xsd:restriction base="dms:Note"/>
      </xsd:simpleType>
    </xsd:element>
    <xsd:element name="MediaServiceLocation" ma:index="17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2d0fc9f-eb5f-40ac-b597-c984a82382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rogress" ma:index="25" nillable="true" ma:displayName="Progress" ma:description="Mark your progress with the task." ma:format="Dropdown" ma:internalName="Progress">
      <xsd:simpleType>
        <xsd:restriction base="dms:Choice">
          <xsd:enumeration value="New"/>
          <xsd:enumeration value="Acknowledged"/>
          <xsd:enumeration value="In Progress"/>
          <xsd:enumeration value="Sent to Lead Support"/>
          <xsd:enumeration value="Completed"/>
        </xsd:restriction>
      </xsd:simpleType>
    </xsd:element>
    <xsd:element name="Support" ma:index="26" nillable="true" ma:displayName="Owner(s)" ma:description="Who supports this client?" ma:format="Dropdown" ma:list="UserInfo" ma:SharePointGroup="0" ma:internalName="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obereviewedby" ma:index="28" nillable="true" ma:displayName="To be reviewed by" ma:format="Dropdown" ma:list="UserInfo" ma:SharePointGroup="0" ma:internalName="Tobe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961662-24f8-48fa-8e1b-d6aec199e9f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c8808de1-08d2-41a3-bb8f-4625d6fd043e}" ma:internalName="TaxCatchAll" ma:readOnly="false" ma:showField="CatchAllData" ma:web="01961662-24f8-48fa-8e1b-d6aec199e9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A4DB5-C5C4-443F-87B2-80C3CEDDC2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72FDE-7B67-405C-912F-79931FAB6E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23d52d-cc33-4d55-a30a-79dd6b3aa391"/>
    <ds:schemaRef ds:uri="01961662-24f8-48fa-8e1b-d6aec199e9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Valuation</vt:lpstr>
      <vt:lpstr>DCF</vt:lpstr>
      <vt:lpstr>LBO</vt:lpstr>
      <vt:lpstr>CompAcq</vt:lpstr>
      <vt:lpstr>WACC</vt:lpstr>
      <vt:lpstr>Financials</vt:lpstr>
      <vt:lpstr>ChartData</vt:lpstr>
      <vt:lpstr>tgr</vt:lpstr>
      <vt:lpstr>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Career Principles</dc:creator>
  <cp:lastModifiedBy>Daniel Cole</cp:lastModifiedBy>
  <dcterms:created xsi:type="dcterms:W3CDTF">2023-10-04T09:06:02Z</dcterms:created>
  <dcterms:modified xsi:type="dcterms:W3CDTF">2024-10-13T23:22:50Z</dcterms:modified>
</cp:coreProperties>
</file>