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0a75f9320a1647/Documents/Portfolio/"/>
    </mc:Choice>
  </mc:AlternateContent>
  <xr:revisionPtr revIDLastSave="0" documentId="8_{0E285EFB-C553-4CC8-9123-41422075005A}" xr6:coauthVersionLast="47" xr6:coauthVersionMax="47" xr10:uidLastSave="{00000000-0000-0000-0000-000000000000}"/>
  <bookViews>
    <workbookView xWindow="-28920" yWindow="-75" windowWidth="29040" windowHeight="15720" tabRatio="799" activeTab="2" xr2:uid="{9D0E4CCA-C93B-4CDD-ADD5-896A15C4200F}"/>
  </bookViews>
  <sheets>
    <sheet name="CapTable" sheetId="1" r:id="rId1"/>
    <sheet name="Comps" sheetId="7" r:id="rId2"/>
    <sheet name="Model" sheetId="9" r:id="rId3"/>
  </sheets>
  <externalReferences>
    <externalReference r:id="rId4"/>
  </externalReferences>
  <definedNames>
    <definedName name="_xlnm._FilterDatabase" localSheetId="1" hidden="1">Comps!$B$6:$F$19</definedName>
    <definedName name="actual_start">[1]Formatting!$C$6</definedName>
    <definedName name="currency">[1]Formatting!$C$10</definedName>
    <definedName name="currency_code">[1]Formatting!$C$11</definedName>
    <definedName name="forecast_start">[1]Formatting!$C$5</definedName>
    <definedName name="tax">[1]Formatting!$C$15</definedName>
    <definedName name="unit">[1]Formatting!$C$12</definedName>
    <definedName name="vat">'[1]P&amp;L Actual'!#REF!</definedName>
    <definedName name="yearend">[1]Formatting!$C$7</definedName>
  </definedNames>
  <calcPr calcId="191029" calcMode="manual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9" l="1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D51" i="9"/>
  <c r="D52" i="9"/>
  <c r="D53" i="9"/>
  <c r="E50" i="9"/>
  <c r="E51" i="9"/>
  <c r="E52" i="9"/>
  <c r="E53" i="9"/>
  <c r="F50" i="9"/>
  <c r="F51" i="9"/>
  <c r="F52" i="9"/>
  <c r="F53" i="9"/>
  <c r="G50" i="9"/>
  <c r="G51" i="9"/>
  <c r="G52" i="9"/>
  <c r="G53" i="9"/>
  <c r="H50" i="9"/>
  <c r="H51" i="9"/>
  <c r="H52" i="9"/>
  <c r="H53" i="9"/>
  <c r="I50" i="9"/>
  <c r="I51" i="9"/>
  <c r="I52" i="9"/>
  <c r="I53" i="9"/>
  <c r="J50" i="9"/>
  <c r="J51" i="9"/>
  <c r="J52" i="9"/>
  <c r="J53" i="9"/>
  <c r="K50" i="9"/>
  <c r="K51" i="9"/>
  <c r="K52" i="9"/>
  <c r="K53" i="9"/>
  <c r="L50" i="9"/>
  <c r="L51" i="9"/>
  <c r="L52" i="9"/>
  <c r="L53" i="9"/>
  <c r="M50" i="9"/>
  <c r="M51" i="9"/>
  <c r="M52" i="9"/>
  <c r="M53" i="9"/>
  <c r="N50" i="9"/>
  <c r="N51" i="9"/>
  <c r="N52" i="9"/>
  <c r="N53" i="9"/>
  <c r="O50" i="9"/>
  <c r="O51" i="9"/>
  <c r="O52" i="9"/>
  <c r="O53" i="9"/>
  <c r="P50" i="9"/>
  <c r="P51" i="9"/>
  <c r="P52" i="9"/>
  <c r="P53" i="9"/>
  <c r="Q50" i="9"/>
  <c r="Q51" i="9"/>
  <c r="Q52" i="9"/>
  <c r="Q53" i="9"/>
  <c r="R50" i="9"/>
  <c r="R51" i="9"/>
  <c r="R52" i="9"/>
  <c r="R53" i="9"/>
  <c r="S50" i="9"/>
  <c r="S51" i="9"/>
  <c r="S52" i="9"/>
  <c r="S53" i="9"/>
  <c r="T50" i="9"/>
  <c r="T51" i="9"/>
  <c r="T52" i="9"/>
  <c r="T53" i="9"/>
  <c r="U50" i="9"/>
  <c r="U51" i="9"/>
  <c r="U52" i="9"/>
  <c r="U53" i="9"/>
  <c r="V50" i="9"/>
  <c r="V51" i="9"/>
  <c r="V52" i="9"/>
  <c r="V53" i="9"/>
  <c r="W50" i="9"/>
  <c r="W51" i="9"/>
  <c r="W52" i="9"/>
  <c r="W53" i="9"/>
  <c r="X50" i="9"/>
  <c r="X51" i="9"/>
  <c r="X52" i="9"/>
  <c r="X53" i="9"/>
  <c r="Y50" i="9"/>
  <c r="Y51" i="9"/>
  <c r="Y52" i="9"/>
  <c r="Y53" i="9"/>
  <c r="Z50" i="9"/>
  <c r="Z51" i="9"/>
  <c r="Z52" i="9"/>
  <c r="Z53" i="9"/>
  <c r="AA50" i="9"/>
  <c r="AA51" i="9"/>
  <c r="AA52" i="9"/>
  <c r="AA53" i="9"/>
  <c r="AB50" i="9"/>
  <c r="AB51" i="9"/>
  <c r="AB52" i="9"/>
  <c r="AB53" i="9"/>
  <c r="AC50" i="9"/>
  <c r="AC51" i="9"/>
  <c r="AC52" i="9"/>
  <c r="AC53" i="9"/>
  <c r="AD50" i="9"/>
  <c r="AD51" i="9"/>
  <c r="AD52" i="9"/>
  <c r="AD53" i="9"/>
  <c r="AE50" i="9"/>
  <c r="AE51" i="9"/>
  <c r="AE52" i="9"/>
  <c r="AE53" i="9"/>
  <c r="AF50" i="9"/>
  <c r="AF51" i="9"/>
  <c r="AF52" i="9"/>
  <c r="AF53" i="9"/>
  <c r="AG50" i="9"/>
  <c r="AG51" i="9"/>
  <c r="AG52" i="9"/>
  <c r="AG53" i="9"/>
  <c r="AH50" i="9"/>
  <c r="AH51" i="9"/>
  <c r="AH52" i="9"/>
  <c r="AH53" i="9"/>
  <c r="AI50" i="9"/>
  <c r="AI51" i="9"/>
  <c r="AI52" i="9"/>
  <c r="AI53" i="9"/>
  <c r="AJ50" i="9"/>
  <c r="AJ51" i="9"/>
  <c r="AJ52" i="9"/>
  <c r="AJ53" i="9"/>
  <c r="AK50" i="9"/>
  <c r="AK51" i="9"/>
  <c r="AK52" i="9"/>
  <c r="AK53" i="9"/>
  <c r="AL50" i="9"/>
  <c r="AL51" i="9"/>
  <c r="AL52" i="9"/>
  <c r="AL53" i="9"/>
  <c r="AM50" i="9"/>
  <c r="AM51" i="9"/>
  <c r="AM52" i="9"/>
  <c r="AM53" i="9"/>
  <c r="AN50" i="9"/>
  <c r="AN51" i="9"/>
  <c r="AN52" i="9"/>
  <c r="AN53" i="9"/>
  <c r="AO50" i="9"/>
  <c r="AO51" i="9"/>
  <c r="AO52" i="9"/>
  <c r="AO53" i="9"/>
  <c r="AP50" i="9"/>
  <c r="AP51" i="9"/>
  <c r="AP52" i="9"/>
  <c r="AP53" i="9"/>
  <c r="AQ50" i="9"/>
  <c r="AQ51" i="9"/>
  <c r="AQ52" i="9"/>
  <c r="AQ53" i="9"/>
  <c r="AR50" i="9"/>
  <c r="AR51" i="9"/>
  <c r="AR52" i="9"/>
  <c r="AR53" i="9"/>
  <c r="AS50" i="9"/>
  <c r="AS51" i="9"/>
  <c r="AS52" i="9"/>
  <c r="AS53" i="9"/>
  <c r="AT50" i="9"/>
  <c r="AT51" i="9"/>
  <c r="AT52" i="9"/>
  <c r="AT53" i="9"/>
  <c r="AU50" i="9"/>
  <c r="AU51" i="9"/>
  <c r="AU52" i="9"/>
  <c r="AU53" i="9"/>
  <c r="AV50" i="9"/>
  <c r="AV51" i="9"/>
  <c r="AV52" i="9"/>
  <c r="AV53" i="9"/>
  <c r="AW50" i="9"/>
  <c r="AW51" i="9"/>
  <c r="AW52" i="9"/>
  <c r="AW53" i="9"/>
  <c r="AX50" i="9"/>
  <c r="AX51" i="9"/>
  <c r="AX52" i="9"/>
  <c r="AX53" i="9"/>
  <c r="AY50" i="9"/>
  <c r="AY51" i="9"/>
  <c r="AY52" i="9"/>
  <c r="AY53" i="9"/>
  <c r="AZ50" i="9"/>
  <c r="AZ51" i="9"/>
  <c r="AZ52" i="9"/>
  <c r="AZ53" i="9"/>
  <c r="BA50" i="9"/>
  <c r="BA51" i="9"/>
  <c r="BA52" i="9"/>
  <c r="BA53" i="9"/>
  <c r="BB50" i="9"/>
  <c r="BB51" i="9"/>
  <c r="BB52" i="9"/>
  <c r="BB53" i="9"/>
  <c r="BC50" i="9"/>
  <c r="BC51" i="9"/>
  <c r="BC52" i="9"/>
  <c r="BC53" i="9"/>
  <c r="BD50" i="9"/>
  <c r="BD51" i="9"/>
  <c r="BD52" i="9"/>
  <c r="BD53" i="9"/>
  <c r="BE50" i="9"/>
  <c r="BE51" i="9"/>
  <c r="BE52" i="9"/>
  <c r="BE53" i="9"/>
  <c r="BF50" i="9"/>
  <c r="BF51" i="9"/>
  <c r="BF52" i="9"/>
  <c r="BF53" i="9"/>
  <c r="BG50" i="9"/>
  <c r="BG51" i="9"/>
  <c r="BG52" i="9"/>
  <c r="BG53" i="9"/>
  <c r="BG55" i="9"/>
  <c r="C20" i="9"/>
  <c r="D20" i="9"/>
  <c r="E20" i="9"/>
  <c r="F20" i="9"/>
  <c r="G20" i="9"/>
  <c r="H20" i="9"/>
  <c r="I20" i="9"/>
  <c r="BG69" i="9" a="1"/>
  <c r="BG69" i="9"/>
  <c r="BH48" i="9"/>
  <c r="BH50" i="9"/>
  <c r="BH51" i="9"/>
  <c r="BH52" i="9"/>
  <c r="BH53" i="9"/>
  <c r="BH55" i="9"/>
  <c r="BH69" i="9" a="1"/>
  <c r="BH69" i="9"/>
  <c r="BI48" i="9"/>
  <c r="BI50" i="9"/>
  <c r="BI51" i="9"/>
  <c r="BI52" i="9"/>
  <c r="BI53" i="9"/>
  <c r="BI55" i="9"/>
  <c r="BI69" i="9" a="1"/>
  <c r="BJ48" i="9"/>
  <c r="BJ50" i="9"/>
  <c r="BJ51" i="9"/>
  <c r="BJ52" i="9"/>
  <c r="BJ53" i="9"/>
  <c r="BJ55" i="9"/>
  <c r="BJ69" i="9" a="1"/>
  <c r="BK48" i="9"/>
  <c r="BK50" i="9"/>
  <c r="BK51" i="9"/>
  <c r="BK52" i="9"/>
  <c r="BK53" i="9"/>
  <c r="BK55" i="9"/>
  <c r="BK69" i="9" a="1"/>
  <c r="BL48" i="9"/>
  <c r="BL50" i="9"/>
  <c r="BL51" i="9"/>
  <c r="BL52" i="9"/>
  <c r="BL53" i="9"/>
  <c r="BL55" i="9"/>
  <c r="BL69" i="9" a="1"/>
  <c r="BM48" i="9"/>
  <c r="BM50" i="9"/>
  <c r="BM51" i="9"/>
  <c r="BM52" i="9"/>
  <c r="BM53" i="9"/>
  <c r="BM55" i="9"/>
  <c r="BM69" i="9" a="1"/>
  <c r="BN48" i="9"/>
  <c r="BN50" i="9"/>
  <c r="BN51" i="9"/>
  <c r="BN52" i="9"/>
  <c r="BN53" i="9"/>
  <c r="BN55" i="9"/>
  <c r="BN69" i="9" a="1"/>
  <c r="BO48" i="9"/>
  <c r="BO50" i="9"/>
  <c r="BO51" i="9"/>
  <c r="BO52" i="9"/>
  <c r="BO53" i="9"/>
  <c r="BO55" i="9"/>
  <c r="BO69" i="9" a="1"/>
  <c r="BP48" i="9"/>
  <c r="BP50" i="9"/>
  <c r="BP51" i="9"/>
  <c r="BP52" i="9"/>
  <c r="BP53" i="9"/>
  <c r="BP55" i="9"/>
  <c r="BP69" i="9" a="1"/>
  <c r="BQ48" i="9"/>
  <c r="BQ50" i="9"/>
  <c r="BQ51" i="9"/>
  <c r="BQ52" i="9"/>
  <c r="BQ53" i="9"/>
  <c r="BQ55" i="9"/>
  <c r="BQ69" i="9" a="1"/>
  <c r="BR48" i="9"/>
  <c r="BR50" i="9"/>
  <c r="BR51" i="9"/>
  <c r="BR52" i="9"/>
  <c r="BR53" i="9"/>
  <c r="BR55" i="9"/>
  <c r="BR69" i="9" a="1"/>
  <c r="BI69" i="9"/>
  <c r="BJ69" i="9"/>
  <c r="BK69" i="9"/>
  <c r="BL69" i="9"/>
  <c r="BM69" i="9"/>
  <c r="BN69" i="9"/>
  <c r="BO69" i="9"/>
  <c r="BP69" i="9"/>
  <c r="BQ69" i="9"/>
  <c r="BR69" i="9"/>
  <c r="H101" i="9"/>
  <c r="H102" i="9"/>
  <c r="BG73" i="9"/>
  <c r="BH73" i="9"/>
  <c r="BI73" i="9"/>
  <c r="BJ73" i="9"/>
  <c r="BK73" i="9"/>
  <c r="BL73" i="9"/>
  <c r="BM73" i="9"/>
  <c r="BN73" i="9"/>
  <c r="BO73" i="9"/>
  <c r="BP73" i="9"/>
  <c r="BQ73" i="9"/>
  <c r="BR73" i="9"/>
  <c r="H104" i="9"/>
  <c r="C25" i="9"/>
  <c r="C26" i="9"/>
  <c r="BG56" i="9"/>
  <c r="BG74" i="9" a="1"/>
  <c r="BG74" i="9"/>
  <c r="BH56" i="9"/>
  <c r="BH74" i="9" a="1"/>
  <c r="BH74" i="9"/>
  <c r="BI56" i="9"/>
  <c r="BI74" i="9" a="1"/>
  <c r="BJ56" i="9"/>
  <c r="BJ74" i="9" a="1"/>
  <c r="BK56" i="9"/>
  <c r="BK74" i="9" a="1"/>
  <c r="BL56" i="9"/>
  <c r="BL74" i="9" a="1"/>
  <c r="BM56" i="9"/>
  <c r="BM74" i="9" a="1"/>
  <c r="BN56" i="9"/>
  <c r="BN74" i="9" a="1"/>
  <c r="BO56" i="9"/>
  <c r="BO74" i="9" a="1"/>
  <c r="BP56" i="9"/>
  <c r="BP74" i="9" a="1"/>
  <c r="BQ56" i="9"/>
  <c r="BQ74" i="9" a="1"/>
  <c r="BR56" i="9"/>
  <c r="BR74" i="9" a="1"/>
  <c r="BI74" i="9"/>
  <c r="BJ74" i="9"/>
  <c r="BK74" i="9"/>
  <c r="BL74" i="9"/>
  <c r="BM74" i="9"/>
  <c r="BN74" i="9"/>
  <c r="BO74" i="9"/>
  <c r="BP74" i="9"/>
  <c r="BQ74" i="9"/>
  <c r="BR74" i="9"/>
  <c r="H105" i="9"/>
  <c r="H106" i="9"/>
  <c r="H108" i="9"/>
  <c r="AZ81" i="9"/>
  <c r="BA81" i="9"/>
  <c r="BB81" i="9"/>
  <c r="BC81" i="9"/>
  <c r="BD81" i="9"/>
  <c r="BE81" i="9"/>
  <c r="BF81" i="9"/>
  <c r="BG81" i="9"/>
  <c r="BH81" i="9"/>
  <c r="BI81" i="9"/>
  <c r="BJ81" i="9"/>
  <c r="BK81" i="9"/>
  <c r="BL81" i="9"/>
  <c r="BM81" i="9"/>
  <c r="BN81" i="9"/>
  <c r="BO81" i="9"/>
  <c r="BP81" i="9"/>
  <c r="BQ81" i="9"/>
  <c r="BR81" i="9"/>
  <c r="H111" i="9"/>
  <c r="BG70" i="9"/>
  <c r="BG82" i="9"/>
  <c r="BH70" i="9"/>
  <c r="BH82" i="9"/>
  <c r="BI70" i="9"/>
  <c r="BI82" i="9"/>
  <c r="BJ70" i="9"/>
  <c r="BJ82" i="9"/>
  <c r="BK70" i="9"/>
  <c r="BK82" i="9"/>
  <c r="BL70" i="9"/>
  <c r="BL82" i="9"/>
  <c r="BM70" i="9"/>
  <c r="BM82" i="9"/>
  <c r="BN70" i="9"/>
  <c r="BN82" i="9"/>
  <c r="BO70" i="9"/>
  <c r="BO82" i="9"/>
  <c r="BP70" i="9"/>
  <c r="BP82" i="9"/>
  <c r="BQ70" i="9"/>
  <c r="BQ82" i="9"/>
  <c r="BR70" i="9"/>
  <c r="BR82" i="9"/>
  <c r="H112" i="9"/>
  <c r="H113" i="9"/>
  <c r="H114" i="9"/>
  <c r="BG85" i="9"/>
  <c r="BH85" i="9"/>
  <c r="BI85" i="9"/>
  <c r="BJ85" i="9"/>
  <c r="BK85" i="9"/>
  <c r="BL85" i="9"/>
  <c r="BM85" i="9"/>
  <c r="BN85" i="9"/>
  <c r="BO85" i="9"/>
  <c r="BP85" i="9"/>
  <c r="BQ85" i="9"/>
  <c r="BR85" i="9"/>
  <c r="H115" i="9"/>
  <c r="H116" i="9"/>
  <c r="BG87" i="9"/>
  <c r="BH87" i="9"/>
  <c r="BI87" i="9"/>
  <c r="BJ87" i="9"/>
  <c r="BK87" i="9"/>
  <c r="BL87" i="9"/>
  <c r="BM87" i="9"/>
  <c r="BN87" i="9"/>
  <c r="BO87" i="9"/>
  <c r="BP87" i="9"/>
  <c r="BQ87" i="9"/>
  <c r="BR87" i="9"/>
  <c r="H117" i="9"/>
  <c r="H118" i="9"/>
  <c r="H119" i="9"/>
  <c r="BG75" i="9"/>
  <c r="BG77" i="9"/>
  <c r="BG88" i="9"/>
  <c r="BG90" i="9"/>
  <c r="BG93" i="9"/>
  <c r="BH75" i="9"/>
  <c r="BH77" i="9"/>
  <c r="BH88" i="9"/>
  <c r="BH90" i="9"/>
  <c r="BH93" i="9"/>
  <c r="BI75" i="9"/>
  <c r="BI77" i="9"/>
  <c r="BI88" i="9"/>
  <c r="BI90" i="9"/>
  <c r="BI93" i="9"/>
  <c r="BJ75" i="9"/>
  <c r="BJ77" i="9"/>
  <c r="BJ88" i="9"/>
  <c r="BJ90" i="9"/>
  <c r="BJ93" i="9"/>
  <c r="BK75" i="9"/>
  <c r="BK77" i="9"/>
  <c r="BK88" i="9"/>
  <c r="BK90" i="9"/>
  <c r="BK93" i="9"/>
  <c r="BL75" i="9"/>
  <c r="BL77" i="9"/>
  <c r="BL88" i="9"/>
  <c r="BL90" i="9"/>
  <c r="BL93" i="9"/>
  <c r="BM75" i="9"/>
  <c r="BM77" i="9"/>
  <c r="BM88" i="9"/>
  <c r="BM90" i="9"/>
  <c r="BM93" i="9"/>
  <c r="BN75" i="9"/>
  <c r="BN77" i="9"/>
  <c r="BN88" i="9"/>
  <c r="BN90" i="9"/>
  <c r="BN93" i="9"/>
  <c r="BO75" i="9"/>
  <c r="BO77" i="9"/>
  <c r="BO88" i="9"/>
  <c r="BO90" i="9"/>
  <c r="BO93" i="9"/>
  <c r="BP75" i="9"/>
  <c r="BP77" i="9"/>
  <c r="BP88" i="9"/>
  <c r="BP90" i="9"/>
  <c r="BP93" i="9"/>
  <c r="BQ75" i="9"/>
  <c r="BQ77" i="9"/>
  <c r="BQ88" i="9"/>
  <c r="BQ90" i="9"/>
  <c r="BQ93" i="9"/>
  <c r="BR75" i="9"/>
  <c r="BR77" i="9"/>
  <c r="BR88" i="9"/>
  <c r="BR90" i="9"/>
  <c r="BR93" i="9"/>
  <c r="H121" i="9"/>
  <c r="H122" i="9"/>
  <c r="AU55" i="9"/>
  <c r="AU69" i="9" a="1"/>
  <c r="AU69" i="9"/>
  <c r="AV55" i="9"/>
  <c r="AV69" i="9" a="1"/>
  <c r="AV69" i="9"/>
  <c r="AW55" i="9"/>
  <c r="AW69" i="9" a="1"/>
  <c r="AX55" i="9"/>
  <c r="AX69" i="9" a="1"/>
  <c r="AY55" i="9"/>
  <c r="AY69" i="9" a="1"/>
  <c r="AZ55" i="9"/>
  <c r="AZ69" i="9" a="1"/>
  <c r="BA55" i="9"/>
  <c r="BA69" i="9" a="1"/>
  <c r="BB55" i="9"/>
  <c r="BB69" i="9" a="1"/>
  <c r="BC55" i="9"/>
  <c r="BC69" i="9" a="1"/>
  <c r="BD55" i="9"/>
  <c r="BD69" i="9" a="1"/>
  <c r="BE55" i="9"/>
  <c r="BE69" i="9" a="1"/>
  <c r="BF55" i="9"/>
  <c r="BF69" i="9" a="1"/>
  <c r="AW69" i="9"/>
  <c r="AX69" i="9"/>
  <c r="AY69" i="9"/>
  <c r="AZ69" i="9"/>
  <c r="BA69" i="9"/>
  <c r="BB69" i="9"/>
  <c r="BC69" i="9"/>
  <c r="BD69" i="9"/>
  <c r="BE69" i="9"/>
  <c r="BF69" i="9"/>
  <c r="G101" i="9"/>
  <c r="G102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G104" i="9"/>
  <c r="AU56" i="9"/>
  <c r="AU74" i="9" a="1"/>
  <c r="AU74" i="9"/>
  <c r="AV56" i="9"/>
  <c r="AV74" i="9" a="1"/>
  <c r="AV74" i="9"/>
  <c r="AW56" i="9"/>
  <c r="AW74" i="9" a="1"/>
  <c r="AX56" i="9"/>
  <c r="AX74" i="9" a="1"/>
  <c r="AY56" i="9"/>
  <c r="AY74" i="9" a="1"/>
  <c r="AZ56" i="9"/>
  <c r="AZ74" i="9" a="1"/>
  <c r="BA56" i="9"/>
  <c r="BA74" i="9" a="1"/>
  <c r="BB56" i="9"/>
  <c r="BB74" i="9" a="1"/>
  <c r="BC56" i="9"/>
  <c r="BC74" i="9" a="1"/>
  <c r="BD56" i="9"/>
  <c r="BD74" i="9" a="1"/>
  <c r="BE56" i="9"/>
  <c r="BE74" i="9" a="1"/>
  <c r="BF56" i="9"/>
  <c r="BF74" i="9" a="1"/>
  <c r="AW74" i="9"/>
  <c r="AX74" i="9"/>
  <c r="AY74" i="9"/>
  <c r="AZ74" i="9"/>
  <c r="BA74" i="9"/>
  <c r="BB74" i="9"/>
  <c r="BC74" i="9"/>
  <c r="BD74" i="9"/>
  <c r="BE74" i="9"/>
  <c r="BF74" i="9"/>
  <c r="G105" i="9"/>
  <c r="G106" i="9"/>
  <c r="G108" i="9"/>
  <c r="AU81" i="9"/>
  <c r="AV81" i="9"/>
  <c r="AW81" i="9"/>
  <c r="AX81" i="9"/>
  <c r="AY81" i="9"/>
  <c r="G111" i="9"/>
  <c r="AU70" i="9"/>
  <c r="AU82" i="9"/>
  <c r="AV70" i="9"/>
  <c r="AV82" i="9"/>
  <c r="AW70" i="9"/>
  <c r="AW82" i="9"/>
  <c r="AX70" i="9"/>
  <c r="AX82" i="9"/>
  <c r="AY70" i="9"/>
  <c r="AY82" i="9"/>
  <c r="AZ70" i="9"/>
  <c r="AZ82" i="9"/>
  <c r="BA70" i="9"/>
  <c r="BA82" i="9"/>
  <c r="BB70" i="9"/>
  <c r="BB82" i="9"/>
  <c r="BC70" i="9"/>
  <c r="BC82" i="9"/>
  <c r="BD70" i="9"/>
  <c r="BD82" i="9"/>
  <c r="BE70" i="9"/>
  <c r="BE82" i="9"/>
  <c r="BF70" i="9"/>
  <c r="BF82" i="9"/>
  <c r="G112" i="9"/>
  <c r="G113" i="9"/>
  <c r="G114" i="9"/>
  <c r="AU85" i="9"/>
  <c r="AV85" i="9"/>
  <c r="AW85" i="9"/>
  <c r="AX85" i="9"/>
  <c r="AY85" i="9"/>
  <c r="AZ85" i="9"/>
  <c r="BA85" i="9"/>
  <c r="BB85" i="9"/>
  <c r="BC85" i="9"/>
  <c r="BD85" i="9"/>
  <c r="BE85" i="9"/>
  <c r="BF85" i="9"/>
  <c r="G115" i="9"/>
  <c r="G116" i="9"/>
  <c r="AU87" i="9"/>
  <c r="AV87" i="9"/>
  <c r="AW87" i="9"/>
  <c r="AX87" i="9"/>
  <c r="AY87" i="9"/>
  <c r="AZ87" i="9"/>
  <c r="BA87" i="9"/>
  <c r="BB87" i="9"/>
  <c r="BC87" i="9"/>
  <c r="BD87" i="9"/>
  <c r="BE87" i="9"/>
  <c r="BF87" i="9"/>
  <c r="G117" i="9"/>
  <c r="G118" i="9"/>
  <c r="G119" i="9"/>
  <c r="AU75" i="9"/>
  <c r="AU77" i="9"/>
  <c r="AU88" i="9"/>
  <c r="AU90" i="9"/>
  <c r="AU93" i="9"/>
  <c r="AV75" i="9"/>
  <c r="AV77" i="9"/>
  <c r="AV88" i="9"/>
  <c r="AV90" i="9"/>
  <c r="AV93" i="9"/>
  <c r="AW75" i="9"/>
  <c r="AW77" i="9"/>
  <c r="AW88" i="9"/>
  <c r="AW90" i="9"/>
  <c r="AW93" i="9"/>
  <c r="AX75" i="9"/>
  <c r="AX77" i="9"/>
  <c r="AX88" i="9"/>
  <c r="AX90" i="9"/>
  <c r="AX93" i="9"/>
  <c r="AY75" i="9"/>
  <c r="AY77" i="9"/>
  <c r="AY88" i="9"/>
  <c r="AY90" i="9"/>
  <c r="AY93" i="9"/>
  <c r="AZ75" i="9"/>
  <c r="AZ77" i="9"/>
  <c r="AZ88" i="9"/>
  <c r="AZ90" i="9"/>
  <c r="AZ93" i="9"/>
  <c r="BA75" i="9"/>
  <c r="BA77" i="9"/>
  <c r="BA88" i="9"/>
  <c r="BA90" i="9"/>
  <c r="BA93" i="9"/>
  <c r="BB75" i="9"/>
  <c r="BB77" i="9"/>
  <c r="BB88" i="9"/>
  <c r="BB90" i="9"/>
  <c r="BB93" i="9"/>
  <c r="BC75" i="9"/>
  <c r="BC77" i="9"/>
  <c r="BC88" i="9"/>
  <c r="BC90" i="9"/>
  <c r="BC93" i="9"/>
  <c r="BD75" i="9"/>
  <c r="BD77" i="9"/>
  <c r="BD88" i="9"/>
  <c r="BD90" i="9"/>
  <c r="BD93" i="9"/>
  <c r="BE75" i="9"/>
  <c r="BE77" i="9"/>
  <c r="BE88" i="9"/>
  <c r="BE90" i="9"/>
  <c r="BE93" i="9"/>
  <c r="BF75" i="9"/>
  <c r="BF77" i="9"/>
  <c r="BF88" i="9"/>
  <c r="BF90" i="9"/>
  <c r="BF93" i="9"/>
  <c r="G121" i="9"/>
  <c r="G122" i="9"/>
  <c r="AI55" i="9"/>
  <c r="AI69" i="9" a="1"/>
  <c r="AI69" i="9"/>
  <c r="AJ55" i="9"/>
  <c r="AJ69" i="9" a="1"/>
  <c r="AJ69" i="9"/>
  <c r="AK55" i="9"/>
  <c r="AK69" i="9" a="1"/>
  <c r="AL55" i="9"/>
  <c r="AL69" i="9" a="1"/>
  <c r="AM55" i="9"/>
  <c r="AM69" i="9" a="1"/>
  <c r="AN55" i="9"/>
  <c r="AN69" i="9" a="1"/>
  <c r="AO55" i="9"/>
  <c r="AO69" i="9" a="1"/>
  <c r="AP55" i="9"/>
  <c r="AP69" i="9" a="1"/>
  <c r="AQ55" i="9"/>
  <c r="AQ69" i="9" a="1"/>
  <c r="AR55" i="9"/>
  <c r="AR69" i="9" a="1"/>
  <c r="AS55" i="9"/>
  <c r="AS69" i="9" a="1"/>
  <c r="AT55" i="9"/>
  <c r="AT69" i="9" a="1"/>
  <c r="AK69" i="9"/>
  <c r="AL69" i="9"/>
  <c r="AM69" i="9"/>
  <c r="AN69" i="9"/>
  <c r="AO69" i="9"/>
  <c r="AP69" i="9"/>
  <c r="AQ69" i="9"/>
  <c r="AR69" i="9"/>
  <c r="AS69" i="9"/>
  <c r="AT69" i="9"/>
  <c r="F101" i="9"/>
  <c r="F102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F104" i="9"/>
  <c r="AI56" i="9"/>
  <c r="AI74" i="9" a="1"/>
  <c r="AI74" i="9"/>
  <c r="AJ56" i="9"/>
  <c r="AJ74" i="9" a="1"/>
  <c r="AJ74" i="9"/>
  <c r="AK56" i="9"/>
  <c r="AK74" i="9" a="1"/>
  <c r="AL56" i="9"/>
  <c r="AL74" i="9" a="1"/>
  <c r="AM56" i="9"/>
  <c r="AM74" i="9" a="1"/>
  <c r="AN56" i="9"/>
  <c r="AN74" i="9" a="1"/>
  <c r="AO56" i="9"/>
  <c r="AO74" i="9" a="1"/>
  <c r="AP56" i="9"/>
  <c r="AP74" i="9" a="1"/>
  <c r="AQ56" i="9"/>
  <c r="AQ74" i="9" a="1"/>
  <c r="AR56" i="9"/>
  <c r="AR74" i="9" a="1"/>
  <c r="AS56" i="9"/>
  <c r="AS74" i="9" a="1"/>
  <c r="AT56" i="9"/>
  <c r="AT74" i="9" a="1"/>
  <c r="AK74" i="9"/>
  <c r="AL74" i="9"/>
  <c r="AM74" i="9"/>
  <c r="AN74" i="9"/>
  <c r="AO74" i="9"/>
  <c r="AP74" i="9"/>
  <c r="AQ74" i="9"/>
  <c r="AR74" i="9"/>
  <c r="AS74" i="9"/>
  <c r="AT74" i="9"/>
  <c r="F105" i="9"/>
  <c r="F106" i="9"/>
  <c r="F108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F111" i="9"/>
  <c r="AI70" i="9"/>
  <c r="AI82" i="9"/>
  <c r="AJ70" i="9"/>
  <c r="AJ82" i="9"/>
  <c r="AK70" i="9"/>
  <c r="AK82" i="9"/>
  <c r="AL70" i="9"/>
  <c r="AL82" i="9"/>
  <c r="AM70" i="9"/>
  <c r="AM82" i="9"/>
  <c r="AN70" i="9"/>
  <c r="AN82" i="9"/>
  <c r="AO70" i="9"/>
  <c r="AO82" i="9"/>
  <c r="AP70" i="9"/>
  <c r="AP82" i="9"/>
  <c r="AQ70" i="9"/>
  <c r="AQ82" i="9"/>
  <c r="AR70" i="9"/>
  <c r="AR82" i="9"/>
  <c r="AS70" i="9"/>
  <c r="AS82" i="9"/>
  <c r="AT70" i="9"/>
  <c r="AT82" i="9"/>
  <c r="F112" i="9"/>
  <c r="F113" i="9"/>
  <c r="F114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F115" i="9"/>
  <c r="F116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F117" i="9"/>
  <c r="F118" i="9"/>
  <c r="F119" i="9"/>
  <c r="AI75" i="9"/>
  <c r="AI77" i="9"/>
  <c r="AI88" i="9"/>
  <c r="AI90" i="9"/>
  <c r="AI93" i="9"/>
  <c r="AJ75" i="9"/>
  <c r="AJ77" i="9"/>
  <c r="AJ88" i="9"/>
  <c r="AJ90" i="9"/>
  <c r="AJ93" i="9"/>
  <c r="AK75" i="9"/>
  <c r="AK77" i="9"/>
  <c r="AK88" i="9"/>
  <c r="AK90" i="9"/>
  <c r="AK93" i="9"/>
  <c r="AL75" i="9"/>
  <c r="AL77" i="9"/>
  <c r="AL88" i="9"/>
  <c r="AL90" i="9"/>
  <c r="AL93" i="9"/>
  <c r="AM75" i="9"/>
  <c r="AM77" i="9"/>
  <c r="AM88" i="9"/>
  <c r="AM90" i="9"/>
  <c r="AM93" i="9"/>
  <c r="AN75" i="9"/>
  <c r="AN77" i="9"/>
  <c r="AN88" i="9"/>
  <c r="AN90" i="9"/>
  <c r="AN93" i="9"/>
  <c r="AO75" i="9"/>
  <c r="AO77" i="9"/>
  <c r="AO88" i="9"/>
  <c r="AO90" i="9"/>
  <c r="AO93" i="9"/>
  <c r="AP75" i="9"/>
  <c r="AP77" i="9"/>
  <c r="AP88" i="9"/>
  <c r="AP90" i="9"/>
  <c r="AP93" i="9"/>
  <c r="AQ75" i="9"/>
  <c r="AQ77" i="9"/>
  <c r="AQ88" i="9"/>
  <c r="AQ90" i="9"/>
  <c r="AQ93" i="9"/>
  <c r="AR75" i="9"/>
  <c r="AR77" i="9"/>
  <c r="AR88" i="9"/>
  <c r="AR90" i="9"/>
  <c r="AR93" i="9"/>
  <c r="AS75" i="9"/>
  <c r="AS77" i="9"/>
  <c r="AS88" i="9"/>
  <c r="AS90" i="9"/>
  <c r="AS93" i="9"/>
  <c r="AT75" i="9"/>
  <c r="AT77" i="9"/>
  <c r="AT88" i="9"/>
  <c r="AT90" i="9"/>
  <c r="AT93" i="9"/>
  <c r="F121" i="9"/>
  <c r="F122" i="9"/>
  <c r="W55" i="9"/>
  <c r="W69" i="9" a="1"/>
  <c r="W69" i="9"/>
  <c r="X55" i="9"/>
  <c r="X69" i="9" a="1"/>
  <c r="X69" i="9"/>
  <c r="Y55" i="9"/>
  <c r="Y69" i="9" a="1"/>
  <c r="Z55" i="9"/>
  <c r="Z69" i="9" a="1"/>
  <c r="AA55" i="9"/>
  <c r="AA69" i="9" a="1"/>
  <c r="AB55" i="9"/>
  <c r="AB69" i="9" a="1"/>
  <c r="AC55" i="9"/>
  <c r="AC69" i="9" a="1"/>
  <c r="AD55" i="9"/>
  <c r="AD69" i="9" a="1"/>
  <c r="AE55" i="9"/>
  <c r="AE69" i="9" a="1"/>
  <c r="AF55" i="9"/>
  <c r="AF69" i="9" a="1"/>
  <c r="AG55" i="9"/>
  <c r="AG69" i="9" a="1"/>
  <c r="AH55" i="9"/>
  <c r="AH69" i="9" a="1"/>
  <c r="Y69" i="9"/>
  <c r="Z69" i="9"/>
  <c r="AA69" i="9"/>
  <c r="AB69" i="9"/>
  <c r="AC69" i="9"/>
  <c r="AD69" i="9"/>
  <c r="AE69" i="9"/>
  <c r="AF69" i="9"/>
  <c r="AG69" i="9"/>
  <c r="AH69" i="9"/>
  <c r="E101" i="9"/>
  <c r="E102" i="9"/>
  <c r="W73" i="9"/>
  <c r="X73" i="9"/>
  <c r="Y73" i="9"/>
  <c r="Z73" i="9"/>
  <c r="AA73" i="9"/>
  <c r="AB73" i="9"/>
  <c r="AC73" i="9"/>
  <c r="AD73" i="9"/>
  <c r="AE73" i="9"/>
  <c r="AF73" i="9"/>
  <c r="AG73" i="9"/>
  <c r="AH73" i="9"/>
  <c r="E104" i="9"/>
  <c r="W56" i="9"/>
  <c r="W74" i="9" a="1"/>
  <c r="W74" i="9"/>
  <c r="X56" i="9"/>
  <c r="X74" i="9" a="1"/>
  <c r="X74" i="9"/>
  <c r="Y56" i="9"/>
  <c r="Y74" i="9" a="1"/>
  <c r="Z56" i="9"/>
  <c r="Z74" i="9" a="1"/>
  <c r="AA56" i="9"/>
  <c r="AA74" i="9" a="1"/>
  <c r="AB56" i="9"/>
  <c r="AB74" i="9" a="1"/>
  <c r="AC56" i="9"/>
  <c r="AC74" i="9" a="1"/>
  <c r="AD56" i="9"/>
  <c r="AD74" i="9" a="1"/>
  <c r="AE56" i="9"/>
  <c r="AE74" i="9" a="1"/>
  <c r="AF56" i="9"/>
  <c r="AF74" i="9" a="1"/>
  <c r="AG56" i="9"/>
  <c r="AG74" i="9" a="1"/>
  <c r="AH56" i="9"/>
  <c r="AH74" i="9" a="1"/>
  <c r="Y74" i="9"/>
  <c r="Z74" i="9"/>
  <c r="AA74" i="9"/>
  <c r="AB74" i="9"/>
  <c r="AC74" i="9"/>
  <c r="AD74" i="9"/>
  <c r="AE74" i="9"/>
  <c r="AF74" i="9"/>
  <c r="AG74" i="9"/>
  <c r="AH74" i="9"/>
  <c r="E105" i="9"/>
  <c r="E106" i="9"/>
  <c r="E108" i="9"/>
  <c r="W81" i="9"/>
  <c r="X81" i="9"/>
  <c r="Y81" i="9"/>
  <c r="Z81" i="9"/>
  <c r="AA81" i="9"/>
  <c r="AB81" i="9"/>
  <c r="AC81" i="9"/>
  <c r="AD81" i="9"/>
  <c r="AE81" i="9"/>
  <c r="AF81" i="9"/>
  <c r="AG81" i="9"/>
  <c r="AH81" i="9"/>
  <c r="E111" i="9"/>
  <c r="W70" i="9"/>
  <c r="W82" i="9"/>
  <c r="X70" i="9"/>
  <c r="X82" i="9"/>
  <c r="Y70" i="9"/>
  <c r="Y82" i="9"/>
  <c r="Z70" i="9"/>
  <c r="Z82" i="9"/>
  <c r="AA70" i="9"/>
  <c r="AA82" i="9"/>
  <c r="AB70" i="9"/>
  <c r="AB82" i="9"/>
  <c r="AC70" i="9"/>
  <c r="AC82" i="9"/>
  <c r="AD70" i="9"/>
  <c r="AD82" i="9"/>
  <c r="AE70" i="9"/>
  <c r="AE82" i="9"/>
  <c r="AF70" i="9"/>
  <c r="AF82" i="9"/>
  <c r="AG70" i="9"/>
  <c r="AG82" i="9"/>
  <c r="AH70" i="9"/>
  <c r="AH82" i="9"/>
  <c r="E112" i="9"/>
  <c r="E113" i="9"/>
  <c r="E114" i="9"/>
  <c r="W85" i="9"/>
  <c r="X85" i="9"/>
  <c r="Y85" i="9"/>
  <c r="Z85" i="9"/>
  <c r="AA85" i="9"/>
  <c r="AB85" i="9"/>
  <c r="AC85" i="9"/>
  <c r="AD85" i="9"/>
  <c r="AE85" i="9"/>
  <c r="AF85" i="9"/>
  <c r="AG85" i="9"/>
  <c r="AH85" i="9"/>
  <c r="E115" i="9"/>
  <c r="E116" i="9"/>
  <c r="W87" i="9"/>
  <c r="X87" i="9"/>
  <c r="Y87" i="9"/>
  <c r="Z87" i="9"/>
  <c r="AA87" i="9"/>
  <c r="AB87" i="9"/>
  <c r="AC87" i="9"/>
  <c r="AD87" i="9"/>
  <c r="AE87" i="9"/>
  <c r="AF87" i="9"/>
  <c r="AG87" i="9"/>
  <c r="AH87" i="9"/>
  <c r="E117" i="9"/>
  <c r="E118" i="9"/>
  <c r="E119" i="9"/>
  <c r="W75" i="9"/>
  <c r="W77" i="9"/>
  <c r="W88" i="9"/>
  <c r="W90" i="9"/>
  <c r="W93" i="9"/>
  <c r="X75" i="9"/>
  <c r="X77" i="9"/>
  <c r="X88" i="9"/>
  <c r="X90" i="9"/>
  <c r="X93" i="9"/>
  <c r="Y75" i="9"/>
  <c r="Y77" i="9"/>
  <c r="Y88" i="9"/>
  <c r="Y90" i="9"/>
  <c r="Y93" i="9"/>
  <c r="Z75" i="9"/>
  <c r="Z77" i="9"/>
  <c r="Z88" i="9"/>
  <c r="Z90" i="9"/>
  <c r="Z93" i="9"/>
  <c r="AA75" i="9"/>
  <c r="AA77" i="9"/>
  <c r="AA88" i="9"/>
  <c r="AA90" i="9"/>
  <c r="AA93" i="9"/>
  <c r="AB75" i="9"/>
  <c r="AB77" i="9"/>
  <c r="AB88" i="9"/>
  <c r="AB90" i="9"/>
  <c r="AB93" i="9"/>
  <c r="AC75" i="9"/>
  <c r="AC77" i="9"/>
  <c r="AC88" i="9"/>
  <c r="AC90" i="9"/>
  <c r="AC93" i="9"/>
  <c r="AD75" i="9"/>
  <c r="AD77" i="9"/>
  <c r="AD88" i="9"/>
  <c r="AD90" i="9"/>
  <c r="AD93" i="9"/>
  <c r="AE75" i="9"/>
  <c r="AE77" i="9"/>
  <c r="AE88" i="9"/>
  <c r="AE90" i="9"/>
  <c r="AE93" i="9"/>
  <c r="AF75" i="9"/>
  <c r="AF77" i="9"/>
  <c r="AF88" i="9"/>
  <c r="AF90" i="9"/>
  <c r="AF93" i="9"/>
  <c r="AG75" i="9"/>
  <c r="AG77" i="9"/>
  <c r="AG88" i="9"/>
  <c r="AG90" i="9"/>
  <c r="AG93" i="9"/>
  <c r="AH75" i="9"/>
  <c r="AH77" i="9"/>
  <c r="AH88" i="9"/>
  <c r="AH90" i="9"/>
  <c r="AH93" i="9"/>
  <c r="E121" i="9"/>
  <c r="E122" i="9"/>
  <c r="K55" i="9"/>
  <c r="K69" i="9" a="1"/>
  <c r="K69" i="9"/>
  <c r="L55" i="9"/>
  <c r="L69" i="9" a="1"/>
  <c r="L69" i="9"/>
  <c r="M55" i="9"/>
  <c r="M69" i="9" a="1"/>
  <c r="N55" i="9"/>
  <c r="N69" i="9" a="1"/>
  <c r="O55" i="9"/>
  <c r="O69" i="9" a="1"/>
  <c r="P55" i="9"/>
  <c r="P69" i="9" a="1"/>
  <c r="Q55" i="9"/>
  <c r="Q69" i="9" a="1"/>
  <c r="R55" i="9"/>
  <c r="R69" i="9" a="1"/>
  <c r="S55" i="9"/>
  <c r="S69" i="9" a="1"/>
  <c r="T55" i="9"/>
  <c r="T69" i="9" a="1"/>
  <c r="U55" i="9"/>
  <c r="U69" i="9" a="1"/>
  <c r="V55" i="9"/>
  <c r="V69" i="9" a="1"/>
  <c r="M69" i="9"/>
  <c r="N69" i="9"/>
  <c r="O69" i="9"/>
  <c r="P69" i="9"/>
  <c r="Q69" i="9"/>
  <c r="R69" i="9"/>
  <c r="S69" i="9"/>
  <c r="T69" i="9"/>
  <c r="U69" i="9"/>
  <c r="V69" i="9"/>
  <c r="D101" i="9"/>
  <c r="D102" i="9"/>
  <c r="K73" i="9"/>
  <c r="L73" i="9"/>
  <c r="M73" i="9"/>
  <c r="N73" i="9"/>
  <c r="O73" i="9"/>
  <c r="P73" i="9"/>
  <c r="Q73" i="9"/>
  <c r="R73" i="9"/>
  <c r="S73" i="9"/>
  <c r="T73" i="9"/>
  <c r="U73" i="9"/>
  <c r="V73" i="9"/>
  <c r="D104" i="9"/>
  <c r="K56" i="9"/>
  <c r="K74" i="9" a="1"/>
  <c r="K74" i="9"/>
  <c r="L56" i="9"/>
  <c r="L74" i="9" a="1"/>
  <c r="L74" i="9"/>
  <c r="M56" i="9"/>
  <c r="M74" i="9" a="1"/>
  <c r="N56" i="9"/>
  <c r="N74" i="9" a="1"/>
  <c r="O56" i="9"/>
  <c r="O74" i="9" a="1"/>
  <c r="P56" i="9"/>
  <c r="P74" i="9" a="1"/>
  <c r="Q56" i="9"/>
  <c r="Q74" i="9" a="1"/>
  <c r="R56" i="9"/>
  <c r="R74" i="9" a="1"/>
  <c r="S56" i="9"/>
  <c r="S74" i="9" a="1"/>
  <c r="T56" i="9"/>
  <c r="T74" i="9" a="1"/>
  <c r="U56" i="9"/>
  <c r="U74" i="9" a="1"/>
  <c r="V56" i="9"/>
  <c r="V74" i="9" a="1"/>
  <c r="M74" i="9"/>
  <c r="N74" i="9"/>
  <c r="O74" i="9"/>
  <c r="P74" i="9"/>
  <c r="Q74" i="9"/>
  <c r="R74" i="9"/>
  <c r="S74" i="9"/>
  <c r="T74" i="9"/>
  <c r="U74" i="9"/>
  <c r="V74" i="9"/>
  <c r="D105" i="9"/>
  <c r="D106" i="9"/>
  <c r="D108" i="9"/>
  <c r="M81" i="9"/>
  <c r="N81" i="9"/>
  <c r="O81" i="9"/>
  <c r="P81" i="9"/>
  <c r="Q81" i="9"/>
  <c r="R81" i="9"/>
  <c r="S81" i="9"/>
  <c r="T81" i="9"/>
  <c r="U81" i="9"/>
  <c r="V81" i="9"/>
  <c r="D111" i="9"/>
  <c r="O70" i="9"/>
  <c r="O82" i="9"/>
  <c r="P70" i="9"/>
  <c r="P82" i="9"/>
  <c r="Q70" i="9"/>
  <c r="Q82" i="9"/>
  <c r="R70" i="9"/>
  <c r="R82" i="9"/>
  <c r="S70" i="9"/>
  <c r="S82" i="9"/>
  <c r="T70" i="9"/>
  <c r="T82" i="9"/>
  <c r="U70" i="9"/>
  <c r="U82" i="9"/>
  <c r="V70" i="9"/>
  <c r="V82" i="9"/>
  <c r="D112" i="9"/>
  <c r="D113" i="9"/>
  <c r="D114" i="9"/>
  <c r="K85" i="9"/>
  <c r="L85" i="9"/>
  <c r="M85" i="9"/>
  <c r="N85" i="9"/>
  <c r="O85" i="9"/>
  <c r="P85" i="9"/>
  <c r="Q85" i="9"/>
  <c r="R85" i="9"/>
  <c r="S85" i="9"/>
  <c r="T85" i="9"/>
  <c r="U85" i="9"/>
  <c r="V85" i="9"/>
  <c r="D115" i="9"/>
  <c r="D116" i="9"/>
  <c r="K87" i="9"/>
  <c r="L87" i="9"/>
  <c r="M87" i="9"/>
  <c r="N87" i="9"/>
  <c r="O87" i="9"/>
  <c r="P87" i="9"/>
  <c r="Q87" i="9"/>
  <c r="R87" i="9"/>
  <c r="S87" i="9"/>
  <c r="T87" i="9"/>
  <c r="U87" i="9"/>
  <c r="V87" i="9"/>
  <c r="D117" i="9"/>
  <c r="D118" i="9"/>
  <c r="D119" i="9"/>
  <c r="M70" i="9"/>
  <c r="M75" i="9"/>
  <c r="M77" i="9"/>
  <c r="M88" i="9"/>
  <c r="M90" i="9"/>
  <c r="M93" i="9"/>
  <c r="N70" i="9"/>
  <c r="N75" i="9"/>
  <c r="N77" i="9"/>
  <c r="N88" i="9"/>
  <c r="N90" i="9"/>
  <c r="N93" i="9"/>
  <c r="O75" i="9"/>
  <c r="O77" i="9"/>
  <c r="O88" i="9"/>
  <c r="O90" i="9"/>
  <c r="O93" i="9"/>
  <c r="P75" i="9"/>
  <c r="P77" i="9"/>
  <c r="P88" i="9"/>
  <c r="P90" i="9"/>
  <c r="P93" i="9"/>
  <c r="Q75" i="9"/>
  <c r="Q77" i="9"/>
  <c r="Q88" i="9"/>
  <c r="Q90" i="9"/>
  <c r="Q93" i="9"/>
  <c r="R75" i="9"/>
  <c r="R77" i="9"/>
  <c r="R88" i="9"/>
  <c r="R90" i="9"/>
  <c r="R93" i="9"/>
  <c r="S75" i="9"/>
  <c r="S77" i="9"/>
  <c r="S88" i="9"/>
  <c r="S90" i="9"/>
  <c r="S93" i="9"/>
  <c r="T75" i="9"/>
  <c r="T77" i="9"/>
  <c r="T88" i="9"/>
  <c r="T90" i="9"/>
  <c r="T93" i="9"/>
  <c r="U75" i="9"/>
  <c r="U77" i="9"/>
  <c r="U88" i="9"/>
  <c r="U90" i="9"/>
  <c r="U93" i="9"/>
  <c r="V75" i="9"/>
  <c r="V77" i="9"/>
  <c r="V88" i="9"/>
  <c r="V90" i="9"/>
  <c r="V93" i="9"/>
  <c r="D121" i="9"/>
  <c r="D122" i="9"/>
  <c r="C51" i="9"/>
  <c r="C52" i="9"/>
  <c r="C53" i="9"/>
  <c r="C55" i="9"/>
  <c r="C69" i="9" a="1"/>
  <c r="C69" i="9"/>
  <c r="D55" i="9"/>
  <c r="D69" i="9" a="1"/>
  <c r="D69" i="9"/>
  <c r="E55" i="9"/>
  <c r="E69" i="9" a="1"/>
  <c r="F55" i="9"/>
  <c r="F69" i="9" a="1"/>
  <c r="G55" i="9"/>
  <c r="G69" i="9" a="1"/>
  <c r="H55" i="9"/>
  <c r="H69" i="9" a="1"/>
  <c r="I55" i="9"/>
  <c r="I69" i="9" a="1"/>
  <c r="J55" i="9"/>
  <c r="J69" i="9" a="1"/>
  <c r="E69" i="9"/>
  <c r="F69" i="9"/>
  <c r="G69" i="9"/>
  <c r="H69" i="9"/>
  <c r="I69" i="9"/>
  <c r="J69" i="9"/>
  <c r="C101" i="9"/>
  <c r="C102" i="9"/>
  <c r="C73" i="9"/>
  <c r="D73" i="9"/>
  <c r="E73" i="9"/>
  <c r="F73" i="9"/>
  <c r="G73" i="9"/>
  <c r="H73" i="9"/>
  <c r="I73" i="9"/>
  <c r="J73" i="9"/>
  <c r="C104" i="9"/>
  <c r="C56" i="9"/>
  <c r="C74" i="9" a="1"/>
  <c r="C74" i="9"/>
  <c r="D56" i="9"/>
  <c r="D74" i="9" a="1"/>
  <c r="D74" i="9"/>
  <c r="E56" i="9"/>
  <c r="E74" i="9" a="1"/>
  <c r="F56" i="9"/>
  <c r="F74" i="9" a="1"/>
  <c r="G56" i="9"/>
  <c r="G74" i="9" a="1"/>
  <c r="H56" i="9"/>
  <c r="H74" i="9" a="1"/>
  <c r="I56" i="9"/>
  <c r="I74" i="9" a="1"/>
  <c r="J56" i="9"/>
  <c r="J74" i="9" a="1"/>
  <c r="E74" i="9"/>
  <c r="F74" i="9"/>
  <c r="G74" i="9"/>
  <c r="H74" i="9"/>
  <c r="I74" i="9"/>
  <c r="J74" i="9"/>
  <c r="C105" i="9"/>
  <c r="C106" i="9"/>
  <c r="C108" i="9"/>
  <c r="E81" i="9"/>
  <c r="F81" i="9"/>
  <c r="G81" i="9"/>
  <c r="H81" i="9"/>
  <c r="C111" i="9"/>
  <c r="C112" i="9"/>
  <c r="C113" i="9"/>
  <c r="C114" i="9"/>
  <c r="C115" i="9"/>
  <c r="D86" i="9"/>
  <c r="E86" i="9"/>
  <c r="F86" i="9"/>
  <c r="G86" i="9"/>
  <c r="H86" i="9"/>
  <c r="I86" i="9"/>
  <c r="J86" i="9"/>
  <c r="C116" i="9"/>
  <c r="C87" i="9"/>
  <c r="D87" i="9"/>
  <c r="E87" i="9"/>
  <c r="F87" i="9"/>
  <c r="G87" i="9"/>
  <c r="H87" i="9"/>
  <c r="I87" i="9"/>
  <c r="J87" i="9"/>
  <c r="C117" i="9"/>
  <c r="C118" i="9"/>
  <c r="C119" i="9"/>
  <c r="C121" i="9"/>
  <c r="C122" i="9"/>
  <c r="BR94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70" i="9"/>
  <c r="L75" i="9"/>
  <c r="L77" i="9"/>
  <c r="L88" i="9"/>
  <c r="L90" i="9"/>
  <c r="L94" i="9"/>
  <c r="K70" i="9"/>
  <c r="K75" i="9"/>
  <c r="K77" i="9"/>
  <c r="K88" i="9"/>
  <c r="K90" i="9"/>
  <c r="K94" i="9"/>
  <c r="J70" i="9"/>
  <c r="J75" i="9"/>
  <c r="J77" i="9"/>
  <c r="J88" i="9"/>
  <c r="J90" i="9"/>
  <c r="J94" i="9"/>
  <c r="I70" i="9"/>
  <c r="I75" i="9"/>
  <c r="I77" i="9"/>
  <c r="I88" i="9"/>
  <c r="I90" i="9"/>
  <c r="I94" i="9"/>
  <c r="H70" i="9"/>
  <c r="H75" i="9"/>
  <c r="H77" i="9"/>
  <c r="H88" i="9"/>
  <c r="H90" i="9"/>
  <c r="H94" i="9"/>
  <c r="G70" i="9"/>
  <c r="G75" i="9"/>
  <c r="G77" i="9"/>
  <c r="G88" i="9"/>
  <c r="G90" i="9"/>
  <c r="G94" i="9"/>
  <c r="F70" i="9"/>
  <c r="F75" i="9"/>
  <c r="F77" i="9"/>
  <c r="F88" i="9"/>
  <c r="F90" i="9"/>
  <c r="F94" i="9"/>
  <c r="E70" i="9"/>
  <c r="E75" i="9"/>
  <c r="E77" i="9"/>
  <c r="E88" i="9"/>
  <c r="E90" i="9"/>
  <c r="E94" i="9"/>
  <c r="D70" i="9"/>
  <c r="D75" i="9"/>
  <c r="D77" i="9"/>
  <c r="D88" i="9"/>
  <c r="D90" i="9"/>
  <c r="D94" i="9"/>
  <c r="C70" i="9"/>
  <c r="C75" i="9"/>
  <c r="C77" i="9"/>
  <c r="C88" i="9"/>
  <c r="C90" i="9"/>
  <c r="C94" i="9"/>
  <c r="BR91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C15" i="9"/>
  <c r="C61" i="9"/>
  <c r="C62" i="9" a="1"/>
  <c r="C62" i="9"/>
  <c r="C63" i="9"/>
  <c r="D60" i="9"/>
  <c r="D61" i="9"/>
  <c r="D62" i="9" a="1"/>
  <c r="D62" i="9"/>
  <c r="D63" i="9"/>
  <c r="E60" i="9"/>
  <c r="E61" i="9"/>
  <c r="E62" i="9" a="1"/>
  <c r="E62" i="9"/>
  <c r="E63" i="9"/>
  <c r="F60" i="9"/>
  <c r="F61" i="9"/>
  <c r="F62" i="9" a="1"/>
  <c r="F62" i="9"/>
  <c r="F63" i="9"/>
  <c r="G60" i="9"/>
  <c r="G61" i="9"/>
  <c r="G62" i="9" a="1"/>
  <c r="G62" i="9"/>
  <c r="G63" i="9"/>
  <c r="H60" i="9"/>
  <c r="H61" i="9"/>
  <c r="H62" i="9" a="1"/>
  <c r="H62" i="9"/>
  <c r="H63" i="9"/>
  <c r="I60" i="9"/>
  <c r="I61" i="9"/>
  <c r="I62" i="9" a="1"/>
  <c r="I62" i="9"/>
  <c r="I63" i="9"/>
  <c r="J60" i="9"/>
  <c r="J61" i="9"/>
  <c r="J62" i="9" a="1"/>
  <c r="J62" i="9"/>
  <c r="J63" i="9"/>
  <c r="K60" i="9"/>
  <c r="K61" i="9"/>
  <c r="K62" i="9" a="1"/>
  <c r="K62" i="9"/>
  <c r="K63" i="9"/>
  <c r="L60" i="9"/>
  <c r="L61" i="9"/>
  <c r="L62" i="9" a="1"/>
  <c r="L62" i="9"/>
  <c r="L63" i="9"/>
  <c r="M60" i="9"/>
  <c r="M61" i="9"/>
  <c r="M62" i="9" a="1"/>
  <c r="M62" i="9"/>
  <c r="M63" i="9"/>
  <c r="N60" i="9"/>
  <c r="N61" i="9"/>
  <c r="N62" i="9" a="1"/>
  <c r="N62" i="9"/>
  <c r="N63" i="9"/>
  <c r="O60" i="9"/>
  <c r="O61" i="9"/>
  <c r="O62" i="9" a="1"/>
  <c r="O62" i="9"/>
  <c r="O63" i="9"/>
  <c r="P60" i="9"/>
  <c r="P61" i="9"/>
  <c r="P62" i="9" a="1"/>
  <c r="P62" i="9"/>
  <c r="P63" i="9"/>
  <c r="Q60" i="9"/>
  <c r="Q61" i="9"/>
  <c r="Q62" i="9" a="1"/>
  <c r="Q62" i="9"/>
  <c r="Q63" i="9"/>
  <c r="R60" i="9"/>
  <c r="R61" i="9"/>
  <c r="R62" i="9" a="1"/>
  <c r="R62" i="9"/>
  <c r="R63" i="9"/>
  <c r="S60" i="9"/>
  <c r="S61" i="9"/>
  <c r="S62" i="9" a="1"/>
  <c r="S62" i="9"/>
  <c r="S63" i="9"/>
  <c r="T60" i="9"/>
  <c r="T61" i="9"/>
  <c r="T62" i="9" a="1"/>
  <c r="T62" i="9"/>
  <c r="T63" i="9"/>
  <c r="U60" i="9"/>
  <c r="U61" i="9"/>
  <c r="U62" i="9" a="1"/>
  <c r="U62" i="9"/>
  <c r="U63" i="9"/>
  <c r="V60" i="9"/>
  <c r="V61" i="9"/>
  <c r="V62" i="9" a="1"/>
  <c r="V62" i="9"/>
  <c r="V63" i="9"/>
  <c r="W60" i="9"/>
  <c r="W61" i="9"/>
  <c r="W62" i="9" a="1"/>
  <c r="W62" i="9"/>
  <c r="W63" i="9"/>
  <c r="X60" i="9"/>
  <c r="X61" i="9"/>
  <c r="X62" i="9" a="1"/>
  <c r="X62" i="9"/>
  <c r="X63" i="9"/>
  <c r="Y60" i="9"/>
  <c r="Y61" i="9"/>
  <c r="Y62" i="9" a="1"/>
  <c r="Y62" i="9"/>
  <c r="Y63" i="9"/>
  <c r="Z60" i="9"/>
  <c r="Z61" i="9"/>
  <c r="Z62" i="9" a="1"/>
  <c r="Z62" i="9"/>
  <c r="Z63" i="9"/>
  <c r="AA60" i="9"/>
  <c r="AA61" i="9"/>
  <c r="AA62" i="9" a="1"/>
  <c r="AA62" i="9"/>
  <c r="AA63" i="9"/>
  <c r="AB60" i="9"/>
  <c r="AB61" i="9"/>
  <c r="AB62" i="9" a="1"/>
  <c r="AB62" i="9"/>
  <c r="AB63" i="9"/>
  <c r="AC60" i="9"/>
  <c r="AC61" i="9"/>
  <c r="AC62" i="9" a="1"/>
  <c r="AC62" i="9"/>
  <c r="AC63" i="9"/>
  <c r="AD60" i="9"/>
  <c r="AD61" i="9"/>
  <c r="AD62" i="9" a="1"/>
  <c r="AD62" i="9"/>
  <c r="AD63" i="9"/>
  <c r="AE60" i="9"/>
  <c r="AE61" i="9"/>
  <c r="AE62" i="9" a="1"/>
  <c r="AE62" i="9"/>
  <c r="AE63" i="9"/>
  <c r="AF60" i="9"/>
  <c r="AF61" i="9"/>
  <c r="AF62" i="9" a="1"/>
  <c r="AF62" i="9"/>
  <c r="AF63" i="9"/>
  <c r="AG60" i="9"/>
  <c r="AG61" i="9"/>
  <c r="AG62" i="9" a="1"/>
  <c r="AG62" i="9"/>
  <c r="AG63" i="9"/>
  <c r="AH60" i="9"/>
  <c r="AH61" i="9"/>
  <c r="AH62" i="9" a="1"/>
  <c r="AH62" i="9"/>
  <c r="AH63" i="9"/>
  <c r="AI60" i="9"/>
  <c r="AI61" i="9"/>
  <c r="AI62" i="9" a="1"/>
  <c r="AI62" i="9"/>
  <c r="AI63" i="9"/>
  <c r="AJ60" i="9"/>
  <c r="AJ61" i="9"/>
  <c r="AJ62" i="9" a="1"/>
  <c r="AJ62" i="9"/>
  <c r="AJ63" i="9"/>
  <c r="AK60" i="9"/>
  <c r="AK61" i="9"/>
  <c r="AK62" i="9" a="1"/>
  <c r="AK62" i="9"/>
  <c r="AK63" i="9"/>
  <c r="AL60" i="9"/>
  <c r="AL61" i="9"/>
  <c r="AL62" i="9" a="1"/>
  <c r="AL62" i="9"/>
  <c r="AL63" i="9"/>
  <c r="AM60" i="9"/>
  <c r="AM61" i="9"/>
  <c r="AM62" i="9" a="1"/>
  <c r="AM62" i="9"/>
  <c r="AM63" i="9"/>
  <c r="AN60" i="9"/>
  <c r="AN61" i="9"/>
  <c r="AN62" i="9" a="1"/>
  <c r="AN62" i="9"/>
  <c r="AN63" i="9"/>
  <c r="AO60" i="9"/>
  <c r="AO61" i="9"/>
  <c r="AO62" i="9" a="1"/>
  <c r="AO62" i="9"/>
  <c r="AO63" i="9"/>
  <c r="AP60" i="9"/>
  <c r="AP61" i="9"/>
  <c r="AP62" i="9" a="1"/>
  <c r="AP62" i="9"/>
  <c r="AP63" i="9"/>
  <c r="AQ60" i="9"/>
  <c r="AQ61" i="9"/>
  <c r="AQ62" i="9" a="1"/>
  <c r="AQ62" i="9"/>
  <c r="AQ63" i="9"/>
  <c r="AR60" i="9"/>
  <c r="AR61" i="9"/>
  <c r="AR62" i="9" a="1"/>
  <c r="AR62" i="9"/>
  <c r="AR63" i="9"/>
  <c r="AS60" i="9"/>
  <c r="AS61" i="9"/>
  <c r="AS62" i="9" a="1"/>
  <c r="AS62" i="9"/>
  <c r="AS63" i="9"/>
  <c r="AT60" i="9"/>
  <c r="AT61" i="9"/>
  <c r="AT62" i="9" a="1"/>
  <c r="AT62" i="9"/>
  <c r="AT63" i="9"/>
  <c r="AU60" i="9"/>
  <c r="AU61" i="9"/>
  <c r="AU62" i="9" a="1"/>
  <c r="AU62" i="9"/>
  <c r="AU63" i="9"/>
  <c r="AV60" i="9"/>
  <c r="AV61" i="9"/>
  <c r="AV62" i="9" a="1"/>
  <c r="AV62" i="9"/>
  <c r="AV63" i="9"/>
  <c r="AW60" i="9"/>
  <c r="AW61" i="9"/>
  <c r="AW62" i="9" a="1"/>
  <c r="AW62" i="9"/>
  <c r="AW63" i="9"/>
  <c r="AX60" i="9"/>
  <c r="AX61" i="9"/>
  <c r="AX62" i="9" a="1"/>
  <c r="AX62" i="9"/>
  <c r="AX63" i="9"/>
  <c r="AY60" i="9"/>
  <c r="AY61" i="9"/>
  <c r="AY62" i="9" a="1"/>
  <c r="AY62" i="9"/>
  <c r="AY63" i="9"/>
  <c r="AZ60" i="9"/>
  <c r="AZ61" i="9"/>
  <c r="AZ62" i="9" a="1"/>
  <c r="AZ62" i="9"/>
  <c r="AZ63" i="9"/>
  <c r="BA60" i="9"/>
  <c r="BA61" i="9"/>
  <c r="BA62" i="9" a="1"/>
  <c r="BA62" i="9"/>
  <c r="BA63" i="9"/>
  <c r="BB60" i="9"/>
  <c r="BB61" i="9"/>
  <c r="BB62" i="9" a="1"/>
  <c r="BB62" i="9"/>
  <c r="BB63" i="9"/>
  <c r="BC60" i="9"/>
  <c r="BC61" i="9"/>
  <c r="BC62" i="9" a="1"/>
  <c r="BC62" i="9"/>
  <c r="BC63" i="9"/>
  <c r="BD60" i="9"/>
  <c r="BD61" i="9"/>
  <c r="BD62" i="9" a="1"/>
  <c r="BD62" i="9"/>
  <c r="BD63" i="9"/>
  <c r="BE60" i="9"/>
  <c r="BE61" i="9"/>
  <c r="BE62" i="9" a="1"/>
  <c r="BE62" i="9"/>
  <c r="BE63" i="9"/>
  <c r="BF60" i="9"/>
  <c r="BF61" i="9"/>
  <c r="BF62" i="9" a="1"/>
  <c r="BF62" i="9"/>
  <c r="BF63" i="9"/>
  <c r="BG60" i="9"/>
  <c r="BG61" i="9"/>
  <c r="BG62" i="9" a="1"/>
  <c r="BG62" i="9"/>
  <c r="BG63" i="9"/>
  <c r="BH60" i="9"/>
  <c r="BH61" i="9"/>
  <c r="BH62" i="9" a="1"/>
  <c r="BH62" i="9"/>
  <c r="BH63" i="9"/>
  <c r="BI60" i="9"/>
  <c r="BI61" i="9"/>
  <c r="BI62" i="9" a="1"/>
  <c r="BI62" i="9"/>
  <c r="BI63" i="9"/>
  <c r="BJ60" i="9"/>
  <c r="BJ61" i="9"/>
  <c r="BJ62" i="9" a="1"/>
  <c r="BJ62" i="9"/>
  <c r="BJ63" i="9"/>
  <c r="BK60" i="9"/>
  <c r="BK61" i="9"/>
  <c r="BK62" i="9" a="1"/>
  <c r="BK62" i="9"/>
  <c r="BK63" i="9"/>
  <c r="BL60" i="9"/>
  <c r="BL61" i="9"/>
  <c r="BL62" i="9" a="1"/>
  <c r="BL62" i="9"/>
  <c r="BL63" i="9"/>
  <c r="BM60" i="9"/>
  <c r="BM61" i="9"/>
  <c r="BM62" i="9" a="1"/>
  <c r="BM62" i="9"/>
  <c r="BM63" i="9"/>
  <c r="BN60" i="9"/>
  <c r="BN61" i="9"/>
  <c r="BN62" i="9" a="1"/>
  <c r="BN62" i="9"/>
  <c r="BN63" i="9"/>
  <c r="BO60" i="9"/>
  <c r="BO61" i="9"/>
  <c r="BO62" i="9" a="1"/>
  <c r="BO62" i="9"/>
  <c r="BO63" i="9"/>
  <c r="BP60" i="9"/>
  <c r="BP61" i="9"/>
  <c r="BP62" i="9" a="1"/>
  <c r="BP62" i="9"/>
  <c r="BP63" i="9"/>
  <c r="BQ60" i="9"/>
  <c r="BQ61" i="9"/>
  <c r="BQ62" i="9" a="1"/>
  <c r="BQ62" i="9"/>
  <c r="BQ63" i="9"/>
  <c r="BR60" i="9"/>
  <c r="BR61" i="9"/>
  <c r="BR62" i="9" a="1"/>
  <c r="BR62" i="9"/>
  <c r="BR63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AT96" i="9"/>
  <c r="AU96" i="9"/>
  <c r="AV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BM96" i="9"/>
  <c r="BN96" i="9"/>
  <c r="BO96" i="9"/>
  <c r="BP96" i="9"/>
  <c r="BQ96" i="9"/>
  <c r="BR96" i="9"/>
  <c r="H48" i="1"/>
  <c r="K27" i="1"/>
  <c r="D21" i="7"/>
  <c r="D24" i="7"/>
  <c r="D23" i="7"/>
  <c r="D22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D17" i="7"/>
  <c r="F17" i="7"/>
  <c r="G17" i="7"/>
  <c r="F18" i="7"/>
  <c r="G18" i="7"/>
  <c r="D19" i="7"/>
  <c r="F19" i="7"/>
  <c r="G19" i="7"/>
  <c r="F21" i="7"/>
  <c r="G21" i="7"/>
  <c r="F22" i="7"/>
  <c r="G22" i="7"/>
  <c r="F23" i="7"/>
  <c r="G23" i="7"/>
  <c r="F24" i="7"/>
  <c r="G24" i="7"/>
  <c r="H27" i="1"/>
  <c r="G48" i="1"/>
  <c r="C117" i="1"/>
  <c r="C116" i="1"/>
  <c r="C115" i="1"/>
  <c r="C114" i="1"/>
  <c r="C113" i="1"/>
  <c r="C112" i="1"/>
  <c r="C111" i="1"/>
  <c r="C110" i="1"/>
  <c r="C109" i="1"/>
  <c r="C108" i="1"/>
  <c r="C100" i="1"/>
  <c r="C98" i="1"/>
  <c r="C96" i="1"/>
  <c r="C94" i="1"/>
  <c r="C92" i="1"/>
  <c r="C24" i="1"/>
  <c r="C23" i="1"/>
  <c r="C22" i="1"/>
  <c r="F40" i="1"/>
  <c r="C18" i="1"/>
  <c r="C17" i="1"/>
  <c r="C16" i="1"/>
  <c r="F12" i="1"/>
  <c r="F41" i="1"/>
  <c r="F8" i="1"/>
  <c r="F62" i="1"/>
  <c r="I27" i="1"/>
  <c r="J27" i="1"/>
  <c r="H62" i="1"/>
  <c r="J64" i="1"/>
  <c r="I64" i="1"/>
  <c r="H64" i="1"/>
  <c r="G64" i="1"/>
  <c r="I63" i="1"/>
  <c r="H63" i="1"/>
  <c r="G63" i="1"/>
  <c r="G62" i="1"/>
  <c r="G61" i="1"/>
  <c r="F64" i="1"/>
  <c r="F63" i="1"/>
  <c r="F61" i="1"/>
  <c r="F60" i="1"/>
  <c r="K35" i="1"/>
  <c r="J35" i="1"/>
  <c r="I35" i="1"/>
  <c r="H35" i="1"/>
  <c r="G35" i="1"/>
  <c r="F38" i="1"/>
  <c r="F18" i="1"/>
  <c r="F24" i="1"/>
  <c r="F13" i="1"/>
  <c r="F19" i="1"/>
  <c r="G90" i="1"/>
  <c r="F17" i="1"/>
  <c r="F16" i="1"/>
  <c r="H90" i="1"/>
  <c r="I90" i="1"/>
  <c r="J90" i="1"/>
  <c r="K90" i="1"/>
  <c r="F90" i="1"/>
  <c r="G87" i="1"/>
  <c r="F22" i="1"/>
  <c r="G88" i="1"/>
  <c r="H88" i="1"/>
  <c r="I88" i="1"/>
  <c r="J88" i="1"/>
  <c r="K88" i="1"/>
  <c r="F23" i="1"/>
  <c r="G89" i="1"/>
  <c r="H89" i="1"/>
  <c r="I89" i="1"/>
  <c r="J89" i="1"/>
  <c r="K89" i="1"/>
  <c r="F89" i="1"/>
  <c r="H87" i="1"/>
  <c r="I87" i="1"/>
  <c r="J87" i="1"/>
  <c r="K87" i="1"/>
  <c r="F122" i="1"/>
  <c r="K122" i="1"/>
  <c r="J122" i="1"/>
  <c r="I122" i="1"/>
  <c r="H122" i="1"/>
  <c r="G122" i="1"/>
  <c r="K74" i="1"/>
  <c r="J73" i="1"/>
  <c r="H71" i="1"/>
  <c r="G70" i="1"/>
  <c r="F35" i="1"/>
  <c r="C74" i="1"/>
  <c r="C73" i="1"/>
  <c r="C72" i="1"/>
  <c r="C70" i="1"/>
  <c r="C71" i="1"/>
  <c r="C64" i="1"/>
  <c r="F69" i="1"/>
  <c r="F82" i="1"/>
  <c r="G82" i="1"/>
  <c r="F191" i="1"/>
  <c r="F190" i="1"/>
  <c r="F189" i="1"/>
  <c r="F188" i="1"/>
  <c r="F187" i="1"/>
  <c r="K100" i="1"/>
  <c r="D127" i="1"/>
  <c r="C99" i="1"/>
  <c r="K121" i="1"/>
  <c r="K98" i="1"/>
  <c r="C186" i="1"/>
  <c r="C60" i="1"/>
  <c r="C61" i="1"/>
  <c r="C62" i="1"/>
  <c r="F80" i="1"/>
  <c r="G80" i="1"/>
  <c r="C63" i="1"/>
  <c r="F81" i="1"/>
  <c r="G81" i="1"/>
  <c r="F87" i="1"/>
  <c r="F88" i="1"/>
  <c r="F54" i="1"/>
  <c r="F79" i="1"/>
  <c r="G79" i="1"/>
  <c r="F78" i="1"/>
  <c r="K127" i="1"/>
  <c r="K192" i="1"/>
  <c r="F127" i="1"/>
  <c r="F101" i="1"/>
  <c r="F37" i="1"/>
  <c r="I82" i="1"/>
  <c r="I72" i="1"/>
  <c r="H82" i="1"/>
  <c r="J82" i="1"/>
  <c r="H81" i="1"/>
  <c r="H80" i="1"/>
  <c r="J127" i="1"/>
  <c r="G127" i="1"/>
  <c r="H127" i="1"/>
  <c r="I127" i="1"/>
  <c r="F104" i="1"/>
  <c r="F106" i="1"/>
  <c r="F107" i="1"/>
  <c r="F105" i="1"/>
  <c r="I81" i="1"/>
  <c r="F59" i="1"/>
  <c r="F65" i="1"/>
  <c r="F55" i="1"/>
  <c r="F118" i="1"/>
  <c r="J98" i="1"/>
  <c r="I96" i="1"/>
  <c r="J96" i="1"/>
  <c r="K96" i="1"/>
  <c r="F163" i="1"/>
  <c r="F161" i="1"/>
  <c r="G137" i="1"/>
  <c r="F177" i="1"/>
  <c r="F176" i="1"/>
  <c r="F175" i="1"/>
  <c r="F174" i="1"/>
  <c r="F160" i="1"/>
  <c r="H94" i="1"/>
  <c r="I94" i="1"/>
  <c r="J94" i="1"/>
  <c r="K94" i="1"/>
  <c r="F149" i="1"/>
  <c r="F148" i="1"/>
  <c r="F147" i="1"/>
  <c r="F146" i="1"/>
  <c r="F145" i="1"/>
  <c r="F132" i="1"/>
  <c r="F131" i="1"/>
  <c r="F135" i="1"/>
  <c r="F134" i="1"/>
  <c r="F133" i="1"/>
  <c r="F162" i="1"/>
  <c r="F83" i="1"/>
  <c r="F77" i="1"/>
  <c r="F84" i="1"/>
  <c r="F53" i="1"/>
  <c r="F56" i="1"/>
  <c r="G139" i="1"/>
  <c r="G141" i="1"/>
  <c r="F66" i="1"/>
  <c r="G138" i="1"/>
  <c r="G142" i="1"/>
  <c r="G140" i="1"/>
  <c r="G92" i="1"/>
  <c r="H92" i="1"/>
  <c r="I92" i="1"/>
  <c r="J92" i="1"/>
  <c r="K92" i="1"/>
  <c r="C107" i="1"/>
  <c r="C106" i="1"/>
  <c r="C105" i="1"/>
  <c r="C104" i="1"/>
  <c r="C90" i="1"/>
  <c r="C89" i="1"/>
  <c r="C88" i="1"/>
  <c r="C87" i="1"/>
  <c r="J121" i="1"/>
  <c r="K193" i="1"/>
  <c r="I121" i="1"/>
  <c r="H121" i="1"/>
  <c r="G121" i="1"/>
  <c r="C172" i="1"/>
  <c r="C158" i="1"/>
  <c r="C144" i="1"/>
  <c r="C130" i="1"/>
  <c r="K195" i="1"/>
  <c r="K196" i="1"/>
  <c r="K198" i="1"/>
  <c r="K197" i="1"/>
  <c r="K194" i="1"/>
  <c r="F159" i="1"/>
  <c r="H151" i="1"/>
  <c r="H153" i="1"/>
  <c r="I165" i="1"/>
  <c r="J179" i="1"/>
  <c r="D123" i="1"/>
  <c r="F123" i="1"/>
  <c r="D124" i="1"/>
  <c r="F124" i="1"/>
  <c r="D125" i="1"/>
  <c r="F125" i="1"/>
  <c r="D126" i="1"/>
  <c r="F126" i="1"/>
  <c r="C95" i="1"/>
  <c r="C93" i="1"/>
  <c r="C91" i="1"/>
  <c r="C97" i="1"/>
  <c r="J181" i="1"/>
  <c r="J182" i="1"/>
  <c r="I170" i="1"/>
  <c r="I167" i="1"/>
  <c r="K125" i="1"/>
  <c r="F173" i="1"/>
  <c r="K124" i="1"/>
  <c r="K123" i="1"/>
  <c r="K126" i="1"/>
  <c r="J126" i="1"/>
  <c r="J178" i="1"/>
  <c r="K179" i="1"/>
  <c r="G123" i="1"/>
  <c r="G91" i="1"/>
  <c r="H125" i="1"/>
  <c r="H124" i="1"/>
  <c r="H150" i="1"/>
  <c r="J183" i="1"/>
  <c r="J180" i="1"/>
  <c r="J184" i="1"/>
  <c r="I166" i="1"/>
  <c r="I169" i="1"/>
  <c r="I168" i="1"/>
  <c r="H152" i="1"/>
  <c r="H154" i="1"/>
  <c r="H155" i="1"/>
  <c r="H156" i="1"/>
  <c r="I125" i="1"/>
  <c r="G126" i="1"/>
  <c r="I124" i="1"/>
  <c r="I150" i="1"/>
  <c r="G125" i="1"/>
  <c r="J125" i="1"/>
  <c r="H123" i="1"/>
  <c r="I123" i="1"/>
  <c r="I136" i="1"/>
  <c r="J123" i="1"/>
  <c r="J124" i="1"/>
  <c r="G124" i="1"/>
  <c r="H126" i="1"/>
  <c r="I126" i="1"/>
  <c r="G101" i="1"/>
  <c r="G109" i="1"/>
  <c r="H136" i="1"/>
  <c r="G136" i="1"/>
  <c r="H137" i="1"/>
  <c r="H141" i="1"/>
  <c r="K180" i="1"/>
  <c r="K184" i="1"/>
  <c r="K183" i="1"/>
  <c r="K181" i="1"/>
  <c r="K182" i="1"/>
  <c r="K136" i="1"/>
  <c r="K150" i="1"/>
  <c r="K178" i="1"/>
  <c r="K164" i="1"/>
  <c r="I151" i="1"/>
  <c r="J151" i="1"/>
  <c r="J150" i="1"/>
  <c r="K151" i="1"/>
  <c r="J136" i="1"/>
  <c r="K137" i="1"/>
  <c r="K141" i="1"/>
  <c r="I164" i="1"/>
  <c r="J165" i="1"/>
  <c r="J164" i="1"/>
  <c r="G37" i="1"/>
  <c r="G104" i="1"/>
  <c r="G40" i="1"/>
  <c r="G38" i="1"/>
  <c r="G41" i="1"/>
  <c r="G31" i="1"/>
  <c r="I137" i="1"/>
  <c r="I141" i="1"/>
  <c r="K165" i="1"/>
  <c r="K169" i="1"/>
  <c r="G106" i="1"/>
  <c r="G107" i="1"/>
  <c r="G105" i="1"/>
  <c r="G108" i="1"/>
  <c r="G60" i="1"/>
  <c r="J137" i="1"/>
  <c r="J141" i="1"/>
  <c r="H93" i="1"/>
  <c r="K155" i="1"/>
  <c r="K152" i="1"/>
  <c r="K153" i="1"/>
  <c r="K154" i="1"/>
  <c r="K156" i="1"/>
  <c r="K138" i="1"/>
  <c r="K139" i="1"/>
  <c r="K140" i="1"/>
  <c r="K142" i="1"/>
  <c r="I155" i="1"/>
  <c r="I152" i="1"/>
  <c r="J152" i="1"/>
  <c r="J153" i="1"/>
  <c r="J154" i="1"/>
  <c r="J156" i="1"/>
  <c r="J155" i="1"/>
  <c r="J169" i="1"/>
  <c r="J166" i="1"/>
  <c r="J167" i="1"/>
  <c r="J168" i="1"/>
  <c r="J170" i="1"/>
  <c r="H138" i="1"/>
  <c r="H139" i="1"/>
  <c r="G59" i="1"/>
  <c r="I138" i="1"/>
  <c r="I139" i="1"/>
  <c r="J138" i="1"/>
  <c r="J139" i="1"/>
  <c r="J140" i="1"/>
  <c r="J142" i="1"/>
  <c r="K166" i="1"/>
  <c r="K167" i="1"/>
  <c r="K168" i="1"/>
  <c r="K170" i="1"/>
  <c r="G65" i="1"/>
  <c r="H140" i="1"/>
  <c r="H142" i="1"/>
  <c r="H91" i="1"/>
  <c r="G78" i="1"/>
  <c r="G54" i="1"/>
  <c r="G118" i="1"/>
  <c r="I153" i="1"/>
  <c r="I154" i="1"/>
  <c r="I156" i="1"/>
  <c r="I140" i="1"/>
  <c r="I142" i="1"/>
  <c r="G77" i="1"/>
  <c r="G69" i="1"/>
  <c r="G53" i="1"/>
  <c r="H101" i="1"/>
  <c r="H108" i="1"/>
  <c r="H60" i="1"/>
  <c r="G83" i="1"/>
  <c r="G55" i="1"/>
  <c r="G66" i="1"/>
  <c r="I93" i="1"/>
  <c r="I91" i="1"/>
  <c r="J91" i="1"/>
  <c r="K91" i="1"/>
  <c r="G84" i="1"/>
  <c r="H38" i="1"/>
  <c r="H37" i="1"/>
  <c r="I95" i="1"/>
  <c r="H41" i="1"/>
  <c r="H40" i="1"/>
  <c r="H109" i="1"/>
  <c r="H107" i="1"/>
  <c r="H106" i="1"/>
  <c r="H111" i="1"/>
  <c r="H104" i="1"/>
  <c r="H105" i="1"/>
  <c r="H78" i="1"/>
  <c r="H70" i="1"/>
  <c r="H110" i="1"/>
  <c r="H61" i="1"/>
  <c r="H79" i="1"/>
  <c r="G56" i="1"/>
  <c r="I101" i="1"/>
  <c r="I110" i="1"/>
  <c r="I61" i="1"/>
  <c r="H65" i="1"/>
  <c r="H83" i="1"/>
  <c r="H31" i="1"/>
  <c r="I37" i="1"/>
  <c r="I38" i="1"/>
  <c r="H54" i="1"/>
  <c r="I107" i="1"/>
  <c r="I111" i="1"/>
  <c r="I109" i="1"/>
  <c r="I104" i="1"/>
  <c r="I105" i="1"/>
  <c r="H59" i="1"/>
  <c r="H118" i="1"/>
  <c r="J95" i="1"/>
  <c r="J97" i="1"/>
  <c r="J93" i="1"/>
  <c r="I113" i="1"/>
  <c r="I31" i="1"/>
  <c r="I108" i="1"/>
  <c r="I60" i="1"/>
  <c r="I78" i="1"/>
  <c r="I70" i="1"/>
  <c r="I40" i="1"/>
  <c r="H66" i="1"/>
  <c r="I112" i="1"/>
  <c r="I62" i="1"/>
  <c r="I80" i="1"/>
  <c r="I41" i="1"/>
  <c r="H55" i="1"/>
  <c r="I106" i="1"/>
  <c r="I59" i="1"/>
  <c r="H53" i="1"/>
  <c r="H77" i="1"/>
  <c r="H69" i="1"/>
  <c r="I79" i="1"/>
  <c r="I71" i="1"/>
  <c r="J101" i="1"/>
  <c r="I65" i="1"/>
  <c r="I83" i="1"/>
  <c r="H56" i="1"/>
  <c r="I118" i="1"/>
  <c r="J38" i="1"/>
  <c r="J37" i="1"/>
  <c r="J40" i="1"/>
  <c r="J41" i="1"/>
  <c r="J109" i="1"/>
  <c r="J106" i="1"/>
  <c r="J113" i="1"/>
  <c r="J115" i="1"/>
  <c r="J31" i="1"/>
  <c r="J111" i="1"/>
  <c r="J107" i="1"/>
  <c r="J105" i="1"/>
  <c r="J104" i="1"/>
  <c r="J108" i="1"/>
  <c r="J60" i="1"/>
  <c r="J114" i="1"/>
  <c r="H84" i="1"/>
  <c r="J112" i="1"/>
  <c r="J62" i="1"/>
  <c r="J110" i="1"/>
  <c r="J61" i="1"/>
  <c r="I54" i="1"/>
  <c r="K99" i="1"/>
  <c r="I77" i="1"/>
  <c r="I53" i="1"/>
  <c r="K97" i="1"/>
  <c r="K95" i="1"/>
  <c r="K93" i="1"/>
  <c r="I66" i="1"/>
  <c r="I55" i="1"/>
  <c r="I84" i="1"/>
  <c r="J65" i="1"/>
  <c r="J63" i="1"/>
  <c r="J81" i="1"/>
  <c r="J59" i="1"/>
  <c r="I56" i="1"/>
  <c r="I69" i="1"/>
  <c r="J79" i="1"/>
  <c r="J71" i="1"/>
  <c r="J78" i="1"/>
  <c r="J70" i="1"/>
  <c r="J118" i="1"/>
  <c r="K101" i="1"/>
  <c r="J80" i="1"/>
  <c r="J72" i="1"/>
  <c r="K38" i="1"/>
  <c r="K37" i="1"/>
  <c r="K116" i="1"/>
  <c r="K40" i="1"/>
  <c r="F43" i="1"/>
  <c r="K41" i="1"/>
  <c r="F44" i="1"/>
  <c r="K112" i="1"/>
  <c r="K110" i="1"/>
  <c r="K61" i="1"/>
  <c r="K117" i="1"/>
  <c r="K31" i="1"/>
  <c r="K115" i="1"/>
  <c r="K109" i="1"/>
  <c r="K113" i="1"/>
  <c r="K107" i="1"/>
  <c r="K111" i="1"/>
  <c r="K106" i="1"/>
  <c r="K104" i="1"/>
  <c r="K105" i="1"/>
  <c r="K108" i="1"/>
  <c r="K60" i="1"/>
  <c r="K114" i="1"/>
  <c r="J83" i="1"/>
  <c r="J55" i="1"/>
  <c r="J54" i="1"/>
  <c r="J77" i="1"/>
  <c r="J53" i="1"/>
  <c r="J66" i="1"/>
  <c r="J84" i="1"/>
  <c r="K62" i="1"/>
  <c r="K80" i="1"/>
  <c r="K72" i="1"/>
  <c r="K59" i="1"/>
  <c r="K53" i="1"/>
  <c r="K65" i="1"/>
  <c r="K63" i="1"/>
  <c r="K81" i="1"/>
  <c r="K73" i="1"/>
  <c r="K64" i="1"/>
  <c r="K82" i="1"/>
  <c r="J56" i="1"/>
  <c r="J69" i="1"/>
  <c r="K79" i="1"/>
  <c r="K71" i="1"/>
  <c r="K78" i="1"/>
  <c r="K70" i="1"/>
  <c r="K118" i="1"/>
  <c r="K54" i="1"/>
  <c r="K83" i="1"/>
  <c r="K55" i="1"/>
  <c r="K77" i="1"/>
  <c r="K66" i="1"/>
  <c r="K56" i="1"/>
  <c r="K84" i="1"/>
  <c r="K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<sst xmlns="http://schemas.openxmlformats.org/spreadsheetml/2006/main" count="491" uniqueCount="193">
  <si>
    <t>Shares</t>
  </si>
  <si>
    <t>Inception</t>
  </si>
  <si>
    <t>Angel</t>
  </si>
  <si>
    <t>Seed</t>
  </si>
  <si>
    <t>Series A</t>
  </si>
  <si>
    <t>Series B</t>
  </si>
  <si>
    <t>Interest rate</t>
  </si>
  <si>
    <t>Valuation cap</t>
  </si>
  <si>
    <t>Valuation discount</t>
  </si>
  <si>
    <t>Convertible Note</t>
  </si>
  <si>
    <t>Date:</t>
  </si>
  <si>
    <t>Rount type:</t>
  </si>
  <si>
    <t>New capital:</t>
  </si>
  <si>
    <t>Total shares</t>
  </si>
  <si>
    <t>Equity</t>
  </si>
  <si>
    <t>Total % ownership</t>
  </si>
  <si>
    <t>Notes converting</t>
  </si>
  <si>
    <t>Months</t>
  </si>
  <si>
    <t>Accrued Interest</t>
  </si>
  <si>
    <t>Applicable Valuation</t>
  </si>
  <si>
    <t>Converting Capital</t>
  </si>
  <si>
    <t>Notes issued</t>
  </si>
  <si>
    <t>Date of conversion</t>
  </si>
  <si>
    <t>New Capital:</t>
  </si>
  <si>
    <t>Pre-Money valuation:</t>
  </si>
  <si>
    <t>Interest rate:</t>
  </si>
  <si>
    <t>Valuation cap:</t>
  </si>
  <si>
    <t>Valuation discount:</t>
  </si>
  <si>
    <t>Convertible Note Settings</t>
  </si>
  <si>
    <t>Equity Setting:</t>
  </si>
  <si>
    <t>Convertible Notes by Rounds</t>
  </si>
  <si>
    <t>Founders</t>
  </si>
  <si>
    <t>Total</t>
  </si>
  <si>
    <t>Investment Rounds</t>
  </si>
  <si>
    <t>Ownership Detail</t>
  </si>
  <si>
    <t>Series C</t>
  </si>
  <si>
    <t>Post-Money valuation:</t>
  </si>
  <si>
    <t>Investor's MOIC</t>
  </si>
  <si>
    <t>Investor's Value</t>
  </si>
  <si>
    <t>Angel Investor</t>
  </si>
  <si>
    <t>Seed Investor</t>
  </si>
  <si>
    <t>Series A Investor</t>
  </si>
  <si>
    <t>Series B Investor</t>
  </si>
  <si>
    <t>Series C Investor</t>
  </si>
  <si>
    <t>Startup capital:</t>
  </si>
  <si>
    <t>shares</t>
  </si>
  <si>
    <t>USD</t>
  </si>
  <si>
    <t>label</t>
  </si>
  <si>
    <t>date</t>
  </si>
  <si>
    <t>percent</t>
  </si>
  <si>
    <t>multiple</t>
  </si>
  <si>
    <t>Equity round flag</t>
  </si>
  <si>
    <t>Angel round flag</t>
  </si>
  <si>
    <t>Series A round flag</t>
  </si>
  <si>
    <t>Series B round flag</t>
  </si>
  <si>
    <t>Series C round flag</t>
  </si>
  <si>
    <t>Type</t>
  </si>
  <si>
    <t>dae</t>
  </si>
  <si>
    <t>months</t>
  </si>
  <si>
    <t>Incpetion round flag</t>
  </si>
  <si>
    <t>Flags</t>
  </si>
  <si>
    <t>% Founders Ownership Summary</t>
  </si>
  <si>
    <t>Investors</t>
  </si>
  <si>
    <t>% Ownership Summary by Rounds</t>
  </si>
  <si>
    <t>Amount</t>
  </si>
  <si>
    <t>Total paid up shares for founders</t>
  </si>
  <si>
    <t>Number of issued and shares to be paid up</t>
  </si>
  <si>
    <t>ESOP as a percent of total paid up shares</t>
  </si>
  <si>
    <t>Total paid up shares for ESOP</t>
  </si>
  <si>
    <t>Newly issued shares</t>
  </si>
  <si>
    <t>Newly issued shares (excld. New round ESOP)</t>
  </si>
  <si>
    <t>Pre-money Share price</t>
  </si>
  <si>
    <t>Pre-money Share price (excld. New round ESOP)</t>
  </si>
  <si>
    <t>Total paid up oustanding shares (excld. ESOP)</t>
  </si>
  <si>
    <t>Total paid up outstanding shrares</t>
  </si>
  <si>
    <t xml:space="preserve">ESOP </t>
  </si>
  <si>
    <t>ESOP</t>
  </si>
  <si>
    <t>ESOP prior to next round in number of shares:</t>
  </si>
  <si>
    <t>ESOP prior to next round in shares percentage:</t>
  </si>
  <si>
    <t>Daniel Cole</t>
  </si>
  <si>
    <t>Michael Davidson</t>
  </si>
  <si>
    <t>David Koffi</t>
  </si>
  <si>
    <t>Nightspot Cap Table</t>
  </si>
  <si>
    <t>Seed round flag</t>
  </si>
  <si>
    <t>Max</t>
  </si>
  <si>
    <t>Median</t>
  </si>
  <si>
    <t>Mean</t>
  </si>
  <si>
    <t>Min</t>
  </si>
  <si>
    <t>YY</t>
  </si>
  <si>
    <t>Instagram</t>
  </si>
  <si>
    <t>M&amp;A</t>
  </si>
  <si>
    <t>Yelp</t>
  </si>
  <si>
    <t>Twitch</t>
  </si>
  <si>
    <t>MyFitnessPal</t>
  </si>
  <si>
    <t>Twitter</t>
  </si>
  <si>
    <t>Zynga</t>
  </si>
  <si>
    <t>WhatsApp</t>
  </si>
  <si>
    <t>Weibo</t>
  </si>
  <si>
    <t>Snapchat</t>
  </si>
  <si>
    <t>Momo</t>
  </si>
  <si>
    <t>Facebook</t>
  </si>
  <si>
    <t>LinkedIn</t>
  </si>
  <si>
    <t>($)</t>
  </si>
  <si>
    <t>($000s)</t>
  </si>
  <si>
    <t>(m)</t>
  </si>
  <si>
    <t>Company</t>
  </si>
  <si>
    <t>Value / MAU</t>
  </si>
  <si>
    <t>Market Cap</t>
  </si>
  <si>
    <t>MAU</t>
  </si>
  <si>
    <t>Exit</t>
  </si>
  <si>
    <t>MAU (m)</t>
  </si>
  <si>
    <t>Social Media Comps</t>
  </si>
  <si>
    <t>Nightspot Value</t>
  </si>
  <si>
    <t>IPO</t>
  </si>
  <si>
    <t>Shareholdings as number of shares</t>
  </si>
  <si>
    <t>Shareholdings as a percentage of shares</t>
  </si>
  <si>
    <t>Income Taxes</t>
  </si>
  <si>
    <t>Total Expenses</t>
  </si>
  <si>
    <t>Other Expenses</t>
  </si>
  <si>
    <t>Legal and Accounting Fees</t>
  </si>
  <si>
    <t>Employee Benefits etc.</t>
  </si>
  <si>
    <t>Employee Salaries</t>
  </si>
  <si>
    <t>Rent, Utilities, Supplies</t>
  </si>
  <si>
    <t>General and Administrative</t>
  </si>
  <si>
    <t xml:space="preserve">Marketing and Sales </t>
  </si>
  <si>
    <t>Gross Profit</t>
  </si>
  <si>
    <t>Fidel API Cost</t>
  </si>
  <si>
    <t>Server Cost</t>
  </si>
  <si>
    <t>Total Net Revenue</t>
  </si>
  <si>
    <t>Revenue</t>
  </si>
  <si>
    <t>[USD $ millions]</t>
  </si>
  <si>
    <t>Cumulatrive Earnings</t>
  </si>
  <si>
    <t>Total Bars(End of Month)</t>
  </si>
  <si>
    <t>Bars Churned</t>
  </si>
  <si>
    <t>Bars Gained</t>
  </si>
  <si>
    <t>Total Bars (Start of Month)</t>
  </si>
  <si>
    <t xml:space="preserve">Bar Growth Model </t>
  </si>
  <si>
    <t># of Messages Per Month</t>
  </si>
  <si>
    <t>Average # of Users</t>
  </si>
  <si>
    <t>Total Users (End of Month)</t>
  </si>
  <si>
    <t>Users Churned</t>
  </si>
  <si>
    <t>Users Gained</t>
  </si>
  <si>
    <t>Total Users (Start of Month)</t>
  </si>
  <si>
    <t>General &amp; Administrative as Rev. %</t>
  </si>
  <si>
    <t>Rent, Utilities, Supplies $/employee</t>
  </si>
  <si>
    <t>Employee Count</t>
  </si>
  <si>
    <t>Payroll as Rev. %</t>
  </si>
  <si>
    <t xml:space="preserve">CAC (in dollars) </t>
  </si>
  <si>
    <t>paid customer acquisition percent</t>
  </si>
  <si>
    <t xml:space="preserve">Cost Metrics </t>
  </si>
  <si>
    <t>Server Cost Per User Per Month</t>
  </si>
  <si>
    <t>Transactions 10,240,001+</t>
  </si>
  <si>
    <t>Transactions 2,560,001 - 10,240,000</t>
  </si>
  <si>
    <t>Transactions 640,001 - 2,560,000</t>
  </si>
  <si>
    <t>Transactions 160,001 - 640,000</t>
  </si>
  <si>
    <t>Transactions 40,001 - 160,000</t>
  </si>
  <si>
    <t>Transactions 10,001 - 40,000</t>
  </si>
  <si>
    <t>Transactions &lt; 10,000</t>
  </si>
  <si>
    <t>Cost Per Message</t>
  </si>
  <si>
    <t># of Messages</t>
  </si>
  <si>
    <t># of Messages a Month</t>
  </si>
  <si>
    <t># of Messages per Transaction</t>
  </si>
  <si>
    <t># of Nights Out per Month</t>
  </si>
  <si>
    <t># of Transactions per Night Out</t>
  </si>
  <si>
    <t xml:space="preserve">Cost of Revenue </t>
  </si>
  <si>
    <t>Average Monthly Revenue Per User</t>
  </si>
  <si>
    <t>Average Yearly Revenue</t>
  </si>
  <si>
    <t>60+</t>
  </si>
  <si>
    <t>Revenue Stream Metrics</t>
  </si>
  <si>
    <t>Max Bar Churn at end of life cycle</t>
  </si>
  <si>
    <t>Servicable Obtainable Mkt</t>
  </si>
  <si>
    <t>Bar Churn Rate (M/M)</t>
  </si>
  <si>
    <t>Bar Growth Rate (M/M)</t>
  </si>
  <si>
    <t>User Churn Rate (M/M</t>
  </si>
  <si>
    <t>User Growth Rate (M/M)</t>
  </si>
  <si>
    <t xml:space="preserve">Assumptions </t>
  </si>
  <si>
    <t>Nightspot Model</t>
  </si>
  <si>
    <t>Growth &amp; Market Size</t>
  </si>
  <si>
    <t>Months 1-6</t>
  </si>
  <si>
    <t>Months 6-12</t>
  </si>
  <si>
    <t>Months 13-24</t>
  </si>
  <si>
    <t>Months 25-48</t>
  </si>
  <si>
    <t>Months 48-60</t>
  </si>
  <si>
    <t>User Growth Model (in months)</t>
  </si>
  <si>
    <t>Monthly P&amp;L</t>
  </si>
  <si>
    <t>Yearly P&amp;L</t>
  </si>
  <si>
    <t>Net Income</t>
  </si>
  <si>
    <t>EBIT</t>
  </si>
  <si>
    <t>COGS</t>
  </si>
  <si>
    <t>OpEx</t>
  </si>
  <si>
    <t>Total COGS</t>
  </si>
  <si>
    <t>Gross Margin %</t>
  </si>
  <si>
    <t>Total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</si>
</sst>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-  &quot;;&quot; &quot;@"/>
    <numFmt numFmtId="165" formatCode="0.00%\ ;\-0.00%\ _);&quot;-  &quot;;&quot; &quot;@&quot; &quot;"/>
    <numFmt numFmtId="166" formatCode="#,##0.0000_);\(#,##0.0000\);&quot;-  &quot;;&quot; &quot;@&quot; &quot;"/>
    <numFmt numFmtId="167" formatCode="dd\ mmm\ yyyy_);\(###0\);&quot;-  &quot;;&quot; &quot;@&quot; &quot;"/>
    <numFmt numFmtId="168" formatCode="dd\ mmm\ yy_);\(###0\);&quot;-  &quot;;&quot; &quot;@&quot; &quot;"/>
    <numFmt numFmtId="169" formatCode="###0_);\(###0\);&quot;-  &quot;;&quot; &quot;@&quot; &quot;"/>
    <numFmt numFmtId="170" formatCode="_(&quot;$&quot;* #,##0_);_(&quot;$&quot;* \(#,##0\);_(&quot;$&quot;* &quot;-&quot;??_);_(@_)"/>
    <numFmt numFmtId="171" formatCode="#.00\x"/>
    <numFmt numFmtId="172" formatCode="_(* #,##0_);_(* \(#,##0\);_(* &quot;-&quot;??_);_(@_)"/>
    <numFmt numFmtId="173" formatCode="_(* #,##0.0000_);_(* \(#,##0.0000\);_(* &quot;-&quot;??_);_(@_)"/>
    <numFmt numFmtId="174" formatCode="_(* #,##0.0_);_(* \(#,##0.0\);_(* &quot;-&quot;??_);_(@_)"/>
    <numFmt numFmtId="176" formatCode="[$$-45C]#,##0"/>
    <numFmt numFmtId="177" formatCode="_(* #,##0_);_(* \(#,##0\);_(* \-??_);_(@_)"/>
    <numFmt numFmtId="178" formatCode="_(* #,##0.0_);_(* \(#,##0.0\);_(* \-??_);_(@_)"/>
    <numFmt numFmtId="180" formatCode="\$#,##0_);[Red]&quot;($&quot;#,##0\)"/>
    <numFmt numFmtId="181" formatCode="_-* #,##0_-;\(#,##0\)_-;_-* \-_-;_-@"/>
    <numFmt numFmtId="182" formatCode="_-* #,##0.000_-;\(#,##0.000\)_-;_-* \-_-;_-@"/>
    <numFmt numFmtId="183" formatCode="&quot;$&quot;#,##0.000"/>
    <numFmt numFmtId="184" formatCode="&quot;$&quot;#,##0.00"/>
    <numFmt numFmtId="185" formatCode="&quot;Month&quot;\ 0"/>
    <numFmt numFmtId="187" formatCode="[$-409]mmm\-yy;@"/>
    <numFmt numFmtId="190" formatCode="0%\ ;\-0%\ _);&quot;-  &quot;;&quot; &quot;@&quot; &quot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24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i/>
      <u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u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Arial Narrow"/>
      <family val="2"/>
    </font>
    <font>
      <sz val="12"/>
      <color theme="1"/>
      <name val="Helvetica Neue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432F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8"/>
      <color theme="0"/>
      <name val="Arial"/>
      <family val="2"/>
    </font>
    <font>
      <sz val="28"/>
      <color theme="0"/>
      <name val="Arial"/>
      <family val="2"/>
    </font>
    <font>
      <b/>
      <sz val="10"/>
      <name val="Arial"/>
      <family val="2"/>
    </font>
    <font>
      <i/>
      <sz val="10"/>
      <color rgb="FFFFFFFF"/>
      <name val="Arial"/>
      <family val="2"/>
    </font>
    <font>
      <b/>
      <sz val="12"/>
      <color rgb="FFFFFFFF"/>
      <name val="Arial"/>
      <family val="2"/>
    </font>
    <font>
      <i/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5F9F7E"/>
      </patternFill>
    </fill>
    <fill>
      <patternFill patternType="solid">
        <fgColor rgb="FFCC99FF"/>
        <bgColor rgb="FF5F9F7E"/>
      </patternFill>
    </fill>
    <fill>
      <patternFill patternType="solid">
        <fgColor theme="0" tint="-4.9989318521683403E-2"/>
        <bgColor rgb="FF5F9F7E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</borders>
  <cellStyleXfs count="17">
    <xf numFmtId="164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5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0" fontId="18" fillId="4" borderId="0" applyNumberFormat="0" applyBorder="0" applyAlignment="0" applyProtection="0"/>
    <xf numFmtId="0" fontId="17" fillId="3" borderId="4" applyNumberFormat="0" applyFont="0" applyAlignment="0" applyProtection="0"/>
    <xf numFmtId="0" fontId="19" fillId="0" borderId="0"/>
    <xf numFmtId="0" fontId="20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28">
    <xf numFmtId="164" fontId="0" fillId="0" borderId="0" xfId="0">
      <alignment vertical="top"/>
    </xf>
    <xf numFmtId="164" fontId="2" fillId="2" borderId="2" xfId="0" applyFont="1" applyFill="1" applyBorder="1">
      <alignment vertical="top"/>
    </xf>
    <xf numFmtId="164" fontId="2" fillId="0" borderId="0" xfId="0" applyFont="1">
      <alignment vertical="top"/>
    </xf>
    <xf numFmtId="164" fontId="4" fillId="0" borderId="0" xfId="0" applyFont="1">
      <alignment vertical="top"/>
    </xf>
    <xf numFmtId="167" fontId="2" fillId="0" borderId="0" xfId="4" applyFont="1" applyFill="1" applyBorder="1">
      <alignment vertical="top"/>
    </xf>
    <xf numFmtId="164" fontId="8" fillId="0" borderId="0" xfId="0" applyFont="1" applyBorder="1">
      <alignment vertical="top"/>
    </xf>
    <xf numFmtId="164" fontId="2" fillId="0" borderId="0" xfId="0" applyFont="1" applyFill="1" applyBorder="1">
      <alignment vertical="top"/>
    </xf>
    <xf numFmtId="164" fontId="9" fillId="0" borderId="0" xfId="0" applyFont="1" applyBorder="1">
      <alignment vertical="top"/>
    </xf>
    <xf numFmtId="164" fontId="2" fillId="0" borderId="0" xfId="0" applyFont="1" applyFill="1">
      <alignment vertical="top"/>
    </xf>
    <xf numFmtId="172" fontId="2" fillId="2" borderId="2" xfId="1" applyNumberFormat="1" applyFont="1" applyFill="1" applyBorder="1" applyAlignment="1">
      <alignment vertical="top"/>
    </xf>
    <xf numFmtId="43" fontId="2" fillId="0" borderId="0" xfId="1" applyFont="1" applyFill="1" applyAlignment="1">
      <alignment vertical="top"/>
    </xf>
    <xf numFmtId="164" fontId="10" fillId="0" borderId="0" xfId="0" applyFont="1" applyFill="1">
      <alignment vertical="top"/>
    </xf>
    <xf numFmtId="164" fontId="10" fillId="0" borderId="0" xfId="0" applyFont="1" applyFill="1" applyBorder="1">
      <alignment vertical="top"/>
    </xf>
    <xf numFmtId="164" fontId="9" fillId="0" borderId="0" xfId="0" applyFont="1" applyFill="1" applyBorder="1" applyAlignment="1">
      <alignment horizontal="left" vertical="top"/>
    </xf>
    <xf numFmtId="164" fontId="9" fillId="0" borderId="0" xfId="0" applyFont="1" applyFill="1" applyBorder="1">
      <alignment vertical="top"/>
    </xf>
    <xf numFmtId="164" fontId="12" fillId="0" borderId="0" xfId="0" applyFont="1" applyFill="1" applyBorder="1">
      <alignment vertical="top"/>
    </xf>
    <xf numFmtId="170" fontId="2" fillId="0" borderId="0" xfId="7" applyNumberFormat="1" applyFont="1" applyAlignment="1">
      <alignment vertical="top"/>
    </xf>
    <xf numFmtId="173" fontId="2" fillId="0" borderId="0" xfId="1" applyNumberFormat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14" fillId="0" borderId="0" xfId="0" applyNumberFormat="1" applyFont="1">
      <alignment vertical="top"/>
    </xf>
    <xf numFmtId="0" fontId="15" fillId="0" borderId="0" xfId="0" applyNumberFormat="1" applyFont="1">
      <alignment vertical="top"/>
    </xf>
    <xf numFmtId="165" fontId="2" fillId="0" borderId="0" xfId="2" applyFont="1">
      <alignment vertical="top"/>
    </xf>
    <xf numFmtId="165" fontId="2" fillId="2" borderId="2" xfId="2" applyFont="1" applyFill="1" applyBorder="1">
      <alignment vertical="top"/>
    </xf>
    <xf numFmtId="164" fontId="4" fillId="0" borderId="0" xfId="0" applyFont="1" applyFill="1">
      <alignment vertical="top"/>
    </xf>
    <xf numFmtId="164" fontId="13" fillId="0" borderId="0" xfId="0" applyFont="1" applyFill="1" applyBorder="1">
      <alignment vertical="top"/>
    </xf>
    <xf numFmtId="164" fontId="3" fillId="0" borderId="0" xfId="0" applyFont="1" applyFill="1" applyBorder="1">
      <alignment vertical="top"/>
    </xf>
    <xf numFmtId="165" fontId="2" fillId="0" borderId="0" xfId="2" applyFont="1" applyFill="1" applyBorder="1">
      <alignment vertical="top"/>
    </xf>
    <xf numFmtId="164" fontId="3" fillId="0" borderId="3" xfId="0" applyFont="1" applyFill="1" applyBorder="1">
      <alignment vertical="top"/>
    </xf>
    <xf numFmtId="165" fontId="3" fillId="0" borderId="3" xfId="2" applyFont="1" applyFill="1" applyBorder="1">
      <alignment vertical="top"/>
    </xf>
    <xf numFmtId="171" fontId="2" fillId="0" borderId="0" xfId="0" applyNumberFormat="1" applyFont="1">
      <alignment vertical="top"/>
    </xf>
    <xf numFmtId="164" fontId="2" fillId="1" borderId="0" xfId="0" applyFont="1" applyFill="1">
      <alignment vertical="top"/>
    </xf>
    <xf numFmtId="164" fontId="2" fillId="0" borderId="0" xfId="0" applyFont="1" applyBorder="1">
      <alignment vertical="top"/>
    </xf>
    <xf numFmtId="172" fontId="2" fillId="0" borderId="0" xfId="1" applyNumberFormat="1" applyFont="1" applyAlignment="1">
      <alignment vertical="top"/>
    </xf>
    <xf numFmtId="172" fontId="3" fillId="0" borderId="3" xfId="1" applyNumberFormat="1" applyFont="1" applyBorder="1" applyAlignment="1">
      <alignment vertical="top"/>
    </xf>
    <xf numFmtId="170" fontId="3" fillId="0" borderId="0" xfId="7" applyNumberFormat="1" applyFont="1" applyBorder="1" applyAlignment="1">
      <alignment vertical="top"/>
    </xf>
    <xf numFmtId="164" fontId="3" fillId="1" borderId="0" xfId="0" applyFont="1" applyFill="1">
      <alignment vertical="top"/>
    </xf>
    <xf numFmtId="43" fontId="2" fillId="0" borderId="0" xfId="1" applyFont="1" applyAlignment="1">
      <alignment vertical="top"/>
    </xf>
    <xf numFmtId="164" fontId="3" fillId="0" borderId="3" xfId="0" applyFont="1" applyBorder="1">
      <alignment vertical="top"/>
    </xf>
    <xf numFmtId="165" fontId="3" fillId="0" borderId="3" xfId="2" applyFont="1" applyBorder="1">
      <alignment vertical="top"/>
    </xf>
    <xf numFmtId="164" fontId="7" fillId="0" borderId="0" xfId="0" applyFont="1" applyFill="1">
      <alignment vertical="top"/>
    </xf>
    <xf numFmtId="164" fontId="3" fillId="0" borderId="0" xfId="0" applyFont="1">
      <alignment vertical="top"/>
    </xf>
    <xf numFmtId="164" fontId="12" fillId="0" borderId="0" xfId="0" applyFont="1">
      <alignment vertical="top"/>
    </xf>
    <xf numFmtId="167" fontId="2" fillId="0" borderId="0" xfId="4" applyFont="1">
      <alignment vertical="top"/>
    </xf>
    <xf numFmtId="172" fontId="2" fillId="1" borderId="0" xfId="1" applyNumberFormat="1" applyFont="1" applyFill="1" applyAlignment="1">
      <alignment vertical="top"/>
    </xf>
    <xf numFmtId="170" fontId="2" fillId="1" borderId="0" xfId="7" applyNumberFormat="1" applyFont="1" applyFill="1" applyAlignment="1">
      <alignment vertical="top"/>
    </xf>
    <xf numFmtId="164" fontId="4" fillId="0" borderId="0" xfId="0" applyFont="1" applyFill="1" applyBorder="1">
      <alignment vertical="top"/>
    </xf>
    <xf numFmtId="164" fontId="4" fillId="0" borderId="0" xfId="0" applyFont="1" applyBorder="1">
      <alignment vertical="top"/>
    </xf>
    <xf numFmtId="0" fontId="14" fillId="0" borderId="0" xfId="0" applyNumberFormat="1" applyFont="1" applyBorder="1">
      <alignment vertical="top"/>
    </xf>
    <xf numFmtId="164" fontId="11" fillId="0" borderId="0" xfId="0" applyFont="1" applyFill="1" applyBorder="1">
      <alignment vertical="top"/>
    </xf>
    <xf numFmtId="164" fontId="13" fillId="0" borderId="0" xfId="0" applyFont="1" applyBorder="1">
      <alignment vertical="top"/>
    </xf>
    <xf numFmtId="43" fontId="10" fillId="0" borderId="0" xfId="1" applyFont="1" applyFill="1" applyBorder="1" applyAlignment="1">
      <alignment vertical="top"/>
    </xf>
    <xf numFmtId="164" fontId="10" fillId="0" borderId="0" xfId="0" applyFont="1">
      <alignment vertical="top"/>
    </xf>
    <xf numFmtId="164" fontId="2" fillId="2" borderId="1" xfId="0" applyFont="1" applyFill="1" applyBorder="1">
      <alignment vertical="top"/>
    </xf>
    <xf numFmtId="172" fontId="2" fillId="0" borderId="0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vertical="top"/>
    </xf>
    <xf numFmtId="43" fontId="3" fillId="0" borderId="3" xfId="1" applyFont="1" applyFill="1" applyBorder="1" applyAlignment="1">
      <alignment vertical="top"/>
    </xf>
    <xf numFmtId="43" fontId="14" fillId="0" borderId="0" xfId="1" applyFont="1" applyAlignment="1">
      <alignment vertical="top"/>
    </xf>
    <xf numFmtId="43" fontId="10" fillId="0" borderId="0" xfId="1" applyFont="1" applyFill="1" applyAlignment="1">
      <alignment vertical="top"/>
    </xf>
    <xf numFmtId="164" fontId="14" fillId="0" borderId="0" xfId="0" applyFont="1">
      <alignment vertical="top"/>
    </xf>
    <xf numFmtId="9" fontId="2" fillId="0" borderId="0" xfId="1" applyNumberFormat="1" applyFont="1" applyFill="1" applyBorder="1" applyAlignment="1">
      <alignment vertical="top"/>
    </xf>
    <xf numFmtId="164" fontId="5" fillId="5" borderId="0" xfId="0" applyFont="1" applyFill="1">
      <alignment vertical="top"/>
    </xf>
    <xf numFmtId="164" fontId="6" fillId="5" borderId="0" xfId="0" applyFont="1" applyFill="1">
      <alignment vertical="top"/>
    </xf>
    <xf numFmtId="164" fontId="7" fillId="5" borderId="0" xfId="0" applyFont="1" applyFill="1">
      <alignment vertical="top"/>
    </xf>
    <xf numFmtId="164" fontId="7" fillId="5" borderId="0" xfId="0" applyFont="1" applyFill="1" applyAlignment="1">
      <alignment horizontal="center" vertical="top"/>
    </xf>
    <xf numFmtId="167" fontId="7" fillId="5" borderId="0" xfId="4" applyFont="1" applyFill="1" applyBorder="1" applyAlignment="1">
      <alignment horizontal="center" vertical="top"/>
    </xf>
    <xf numFmtId="164" fontId="7" fillId="5" borderId="0" xfId="0" applyFont="1" applyFill="1" applyBorder="1">
      <alignment vertical="top"/>
    </xf>
    <xf numFmtId="164" fontId="7" fillId="5" borderId="0" xfId="0" applyFont="1" applyFill="1" applyBorder="1" applyAlignment="1">
      <alignment horizontal="center" vertical="top"/>
    </xf>
    <xf numFmtId="172" fontId="2" fillId="2" borderId="1" xfId="1" applyNumberFormat="1" applyFont="1" applyFill="1" applyBorder="1" applyAlignment="1">
      <alignment vertical="top"/>
    </xf>
    <xf numFmtId="164" fontId="2" fillId="2" borderId="5" xfId="0" applyFont="1" applyFill="1" applyBorder="1" applyAlignment="1">
      <alignment horizontal="center" vertical="top"/>
    </xf>
    <xf numFmtId="172" fontId="2" fillId="0" borderId="0" xfId="1" applyNumberFormat="1" applyFont="1" applyFill="1" applyAlignment="1">
      <alignment vertical="top"/>
    </xf>
    <xf numFmtId="172" fontId="10" fillId="0" borderId="0" xfId="1" applyNumberFormat="1" applyFont="1" applyFill="1" applyBorder="1" applyAlignment="1">
      <alignment vertical="top"/>
    </xf>
    <xf numFmtId="164" fontId="10" fillId="0" borderId="6" xfId="0" applyFont="1" applyFill="1" applyBorder="1">
      <alignment vertical="top"/>
    </xf>
    <xf numFmtId="164" fontId="4" fillId="0" borderId="7" xfId="0" applyFont="1" applyBorder="1">
      <alignment vertical="top"/>
    </xf>
    <xf numFmtId="164" fontId="10" fillId="0" borderId="7" xfId="0" applyFont="1" applyBorder="1">
      <alignment vertical="top"/>
    </xf>
    <xf numFmtId="164" fontId="10" fillId="0" borderId="8" xfId="0" applyFont="1" applyBorder="1">
      <alignment vertical="top"/>
    </xf>
    <xf numFmtId="164" fontId="10" fillId="0" borderId="11" xfId="0" applyFont="1" applyFill="1" applyBorder="1">
      <alignment vertical="top"/>
    </xf>
    <xf numFmtId="164" fontId="4" fillId="0" borderId="12" xfId="0" applyFont="1" applyFill="1" applyBorder="1">
      <alignment vertical="top"/>
    </xf>
    <xf numFmtId="164" fontId="10" fillId="0" borderId="12" xfId="0" applyFont="1" applyBorder="1">
      <alignment vertical="top"/>
    </xf>
    <xf numFmtId="164" fontId="10" fillId="0" borderId="13" xfId="0" applyFont="1" applyFill="1" applyBorder="1">
      <alignment vertical="top"/>
    </xf>
    <xf numFmtId="164" fontId="14" fillId="6" borderId="0" xfId="0" applyFont="1" applyFill="1" applyBorder="1">
      <alignment vertical="top"/>
    </xf>
    <xf numFmtId="164" fontId="16" fillId="6" borderId="6" xfId="0" applyFont="1" applyFill="1" applyBorder="1">
      <alignment vertical="top"/>
    </xf>
    <xf numFmtId="164" fontId="14" fillId="6" borderId="7" xfId="0" applyFont="1" applyFill="1" applyBorder="1">
      <alignment vertical="top"/>
    </xf>
    <xf numFmtId="43" fontId="14" fillId="6" borderId="8" xfId="1" applyFont="1" applyFill="1" applyBorder="1" applyAlignment="1">
      <alignment vertical="top"/>
    </xf>
    <xf numFmtId="164" fontId="14" fillId="6" borderId="9" xfId="0" applyFont="1" applyFill="1" applyBorder="1">
      <alignment vertical="top"/>
    </xf>
    <xf numFmtId="165" fontId="16" fillId="6" borderId="10" xfId="2" applyFont="1" applyFill="1" applyBorder="1">
      <alignment vertical="top"/>
    </xf>
    <xf numFmtId="164" fontId="14" fillId="6" borderId="11" xfId="0" applyFont="1" applyFill="1" applyBorder="1">
      <alignment vertical="top"/>
    </xf>
    <xf numFmtId="164" fontId="14" fillId="6" borderId="12" xfId="0" applyFont="1" applyFill="1" applyBorder="1">
      <alignment vertical="top"/>
    </xf>
    <xf numFmtId="165" fontId="16" fillId="6" borderId="13" xfId="2" applyFont="1" applyFill="1" applyBorder="1">
      <alignment vertical="top"/>
    </xf>
    <xf numFmtId="172" fontId="2" fillId="2" borderId="5" xfId="1" applyNumberFormat="1" applyFont="1" applyFill="1" applyBorder="1" applyAlignment="1">
      <alignment vertical="top"/>
    </xf>
    <xf numFmtId="167" fontId="10" fillId="2" borderId="5" xfId="4" applyFont="1" applyFill="1" applyBorder="1">
      <alignment vertical="top"/>
    </xf>
    <xf numFmtId="174" fontId="2" fillId="2" borderId="5" xfId="1" applyNumberFormat="1" applyFont="1" applyFill="1" applyBorder="1" applyAlignment="1">
      <alignment vertical="top"/>
    </xf>
    <xf numFmtId="165" fontId="2" fillId="2" borderId="14" xfId="2" applyFont="1" applyFill="1" applyBorder="1">
      <alignment vertical="top"/>
    </xf>
    <xf numFmtId="165" fontId="2" fillId="2" borderId="5" xfId="2" applyFont="1" applyFill="1" applyBorder="1">
      <alignment vertical="top"/>
    </xf>
    <xf numFmtId="164" fontId="7" fillId="5" borderId="0" xfId="0" applyFont="1" applyFill="1" applyAlignment="1">
      <alignment horizontal="left" vertical="top"/>
    </xf>
    <xf numFmtId="0" fontId="22" fillId="7" borderId="0" xfId="13" applyFont="1" applyFill="1" applyAlignment="1">
      <alignment horizontal="right"/>
    </xf>
    <xf numFmtId="0" fontId="23" fillId="0" borderId="0" xfId="13" applyFont="1"/>
    <xf numFmtId="0" fontId="22" fillId="0" borderId="0" xfId="14" applyFont="1"/>
    <xf numFmtId="0" fontId="24" fillId="0" borderId="0" xfId="13" applyFont="1"/>
    <xf numFmtId="0" fontId="22" fillId="0" borderId="0" xfId="13" applyFont="1"/>
    <xf numFmtId="0" fontId="22" fillId="0" borderId="0" xfId="13" applyFont="1" applyAlignment="1">
      <alignment horizontal="right"/>
    </xf>
    <xf numFmtId="172" fontId="22" fillId="0" borderId="0" xfId="13" applyNumberFormat="1" applyFont="1"/>
    <xf numFmtId="9" fontId="25" fillId="0" borderId="0" xfId="13" applyNumberFormat="1" applyFont="1"/>
    <xf numFmtId="184" fontId="25" fillId="0" borderId="0" xfId="16" applyNumberFormat="1" applyFont="1"/>
    <xf numFmtId="43" fontId="25" fillId="0" borderId="0" xfId="10" applyFont="1"/>
    <xf numFmtId="3" fontId="22" fillId="0" borderId="0" xfId="14" applyNumberFormat="1" applyFont="1" applyAlignment="1">
      <alignment horizontal="right"/>
    </xf>
    <xf numFmtId="183" fontId="25" fillId="0" borderId="0" xfId="13" applyNumberFormat="1" applyFont="1"/>
    <xf numFmtId="3" fontId="24" fillId="0" borderId="0" xfId="14" applyNumberFormat="1" applyFont="1" applyAlignment="1">
      <alignment horizontal="right"/>
    </xf>
    <xf numFmtId="172" fontId="25" fillId="0" borderId="0" xfId="10" applyNumberFormat="1" applyFont="1" applyFill="1"/>
    <xf numFmtId="172" fontId="22" fillId="0" borderId="0" xfId="10" applyNumberFormat="1" applyFont="1" applyFill="1"/>
    <xf numFmtId="172" fontId="27" fillId="0" borderId="0" xfId="10" applyNumberFormat="1" applyFont="1" applyFill="1"/>
    <xf numFmtId="172" fontId="24" fillId="0" borderId="0" xfId="10" applyNumberFormat="1" applyFont="1" applyFill="1"/>
    <xf numFmtId="172" fontId="22" fillId="0" borderId="0" xfId="10" applyNumberFormat="1" applyFont="1" applyFill="1" applyBorder="1"/>
    <xf numFmtId="0" fontId="29" fillId="0" borderId="0" xfId="13" applyFont="1"/>
    <xf numFmtId="43" fontId="29" fillId="0" borderId="0" xfId="13" applyNumberFormat="1" applyFont="1"/>
    <xf numFmtId="0" fontId="25" fillId="0" borderId="0" xfId="14" applyFont="1"/>
    <xf numFmtId="181" fontId="22" fillId="0" borderId="0" xfId="13" applyNumberFormat="1" applyFont="1" applyAlignment="1">
      <alignment horizontal="right"/>
    </xf>
    <xf numFmtId="44" fontId="25" fillId="0" borderId="0" xfId="16" applyFont="1" applyFill="1" applyAlignment="1">
      <alignment horizontal="right"/>
    </xf>
    <xf numFmtId="182" fontId="22" fillId="0" borderId="0" xfId="13" applyNumberFormat="1" applyFont="1" applyAlignment="1">
      <alignment horizontal="right"/>
    </xf>
    <xf numFmtId="9" fontId="25" fillId="0" borderId="0" xfId="15" applyFont="1" applyFill="1" applyAlignment="1">
      <alignment horizontal="right"/>
    </xf>
    <xf numFmtId="181" fontId="25" fillId="0" borderId="0" xfId="13" applyNumberFormat="1" applyFont="1" applyAlignment="1">
      <alignment horizontal="right"/>
    </xf>
    <xf numFmtId="170" fontId="25" fillId="0" borderId="0" xfId="16" applyNumberFormat="1" applyFont="1" applyFill="1" applyAlignment="1">
      <alignment horizontal="right"/>
    </xf>
    <xf numFmtId="164" fontId="35" fillId="5" borderId="0" xfId="0" applyFont="1" applyFill="1">
      <alignment vertical="top"/>
    </xf>
    <xf numFmtId="164" fontId="36" fillId="5" borderId="0" xfId="0" applyFont="1" applyFill="1">
      <alignment vertical="top"/>
    </xf>
    <xf numFmtId="164" fontId="35" fillId="0" borderId="0" xfId="0" applyFont="1" applyFill="1">
      <alignment vertical="top"/>
    </xf>
    <xf numFmtId="164" fontId="36" fillId="0" borderId="0" xfId="0" applyFont="1" applyFill="1">
      <alignment vertical="top"/>
    </xf>
    <xf numFmtId="0" fontId="24" fillId="9" borderId="0" xfId="13" applyFont="1" applyFill="1"/>
    <xf numFmtId="0" fontId="31" fillId="8" borderId="0" xfId="13" applyFont="1" applyFill="1"/>
    <xf numFmtId="0" fontId="31" fillId="8" borderId="0" xfId="13" applyFont="1" applyFill="1" applyAlignment="1">
      <alignment horizontal="right"/>
    </xf>
    <xf numFmtId="0" fontId="31" fillId="5" borderId="0" xfId="13" applyFont="1" applyFill="1" applyAlignment="1">
      <alignment horizontal="right"/>
    </xf>
    <xf numFmtId="172" fontId="25" fillId="6" borderId="5" xfId="10" applyNumberFormat="1" applyFont="1" applyFill="1" applyBorder="1"/>
    <xf numFmtId="0" fontId="31" fillId="0" borderId="0" xfId="13" applyFont="1" applyFill="1" applyAlignment="1">
      <alignment horizontal="right"/>
    </xf>
    <xf numFmtId="0" fontId="37" fillId="6" borderId="0" xfId="13" applyFont="1" applyFill="1"/>
    <xf numFmtId="0" fontId="22" fillId="0" borderId="0" xfId="14" applyFont="1" applyAlignment="1">
      <alignment horizontal="left" indent="2"/>
    </xf>
    <xf numFmtId="0" fontId="24" fillId="6" borderId="0" xfId="14" applyFont="1" applyFill="1"/>
    <xf numFmtId="0" fontId="24" fillId="6" borderId="0" xfId="14" applyFont="1" applyFill="1" applyAlignment="1">
      <alignment horizontal="right"/>
    </xf>
    <xf numFmtId="181" fontId="22" fillId="0" borderId="0" xfId="13" applyNumberFormat="1" applyFont="1" applyFill="1" applyAlignment="1">
      <alignment horizontal="right"/>
    </xf>
    <xf numFmtId="0" fontId="24" fillId="6" borderId="0" xfId="13" applyFont="1" applyFill="1"/>
    <xf numFmtId="181" fontId="22" fillId="6" borderId="0" xfId="13" applyNumberFormat="1" applyFont="1" applyFill="1" applyAlignment="1">
      <alignment horizontal="right"/>
    </xf>
    <xf numFmtId="181" fontId="22" fillId="9" borderId="0" xfId="13" applyNumberFormat="1" applyFont="1" applyFill="1" applyAlignment="1">
      <alignment horizontal="right"/>
    </xf>
    <xf numFmtId="0" fontId="24" fillId="6" borderId="0" xfId="14" applyFont="1" applyFill="1" applyAlignment="1">
      <alignment horizontal="left"/>
    </xf>
    <xf numFmtId="0" fontId="22" fillId="9" borderId="0" xfId="13" applyFont="1" applyFill="1"/>
    <xf numFmtId="185" fontId="31" fillId="8" borderId="0" xfId="13" applyNumberFormat="1" applyFont="1" applyFill="1" applyAlignment="1">
      <alignment horizontal="center"/>
    </xf>
    <xf numFmtId="3" fontId="22" fillId="0" borderId="12" xfId="14" applyNumberFormat="1" applyFont="1" applyBorder="1" applyAlignment="1">
      <alignment horizontal="right"/>
    </xf>
    <xf numFmtId="172" fontId="22" fillId="0" borderId="12" xfId="10" applyNumberFormat="1" applyFont="1" applyFill="1" applyBorder="1"/>
    <xf numFmtId="172" fontId="24" fillId="6" borderId="21" xfId="10" applyNumberFormat="1" applyFont="1" applyFill="1" applyBorder="1"/>
    <xf numFmtId="0" fontId="23" fillId="8" borderId="0" xfId="13" applyFont="1" applyFill="1"/>
    <xf numFmtId="180" fontId="23" fillId="8" borderId="0" xfId="13" applyNumberFormat="1" applyFont="1" applyFill="1"/>
    <xf numFmtId="0" fontId="28" fillId="8" borderId="0" xfId="13" applyFont="1" applyFill="1"/>
    <xf numFmtId="0" fontId="29" fillId="5" borderId="0" xfId="13" applyFont="1" applyFill="1"/>
    <xf numFmtId="0" fontId="28" fillId="8" borderId="20" xfId="13" applyFont="1" applyFill="1" applyBorder="1" applyAlignment="1">
      <alignment horizontal="center"/>
    </xf>
    <xf numFmtId="0" fontId="28" fillId="8" borderId="19" xfId="13" applyFont="1" applyFill="1" applyBorder="1" applyAlignment="1">
      <alignment horizontal="center"/>
    </xf>
    <xf numFmtId="0" fontId="28" fillId="8" borderId="0" xfId="13" applyFont="1" applyFill="1" applyAlignment="1">
      <alignment horizontal="left"/>
    </xf>
    <xf numFmtId="187" fontId="28" fillId="8" borderId="18" xfId="13" applyNumberFormat="1" applyFont="1" applyFill="1" applyBorder="1" applyAlignment="1">
      <alignment horizontal="right"/>
    </xf>
    <xf numFmtId="0" fontId="38" fillId="8" borderId="0" xfId="13" applyFont="1" applyFill="1" applyAlignment="1">
      <alignment horizontal="left" indent="1"/>
    </xf>
    <xf numFmtId="177" fontId="27" fillId="0" borderId="0" xfId="13" applyNumberFormat="1" applyFont="1"/>
    <xf numFmtId="177" fontId="37" fillId="0" borderId="15" xfId="13" applyNumberFormat="1" applyFont="1" applyBorder="1"/>
    <xf numFmtId="178" fontId="37" fillId="0" borderId="0" xfId="13" applyNumberFormat="1" applyFont="1"/>
    <xf numFmtId="178" fontId="27" fillId="0" borderId="0" xfId="13" applyNumberFormat="1" applyFont="1"/>
    <xf numFmtId="177" fontId="27" fillId="0" borderId="0" xfId="13" applyNumberFormat="1" applyFont="1" applyAlignment="1">
      <alignment horizontal="right"/>
    </xf>
    <xf numFmtId="0" fontId="27" fillId="0" borderId="0" xfId="13" applyFont="1"/>
    <xf numFmtId="0" fontId="39" fillId="8" borderId="0" xfId="13" applyFont="1" applyFill="1" applyAlignment="1">
      <alignment horizontal="left"/>
    </xf>
    <xf numFmtId="0" fontId="28" fillId="8" borderId="0" xfId="13" applyFont="1" applyFill="1" applyAlignment="1">
      <alignment horizontal="center"/>
    </xf>
    <xf numFmtId="0" fontId="29" fillId="0" borderId="0" xfId="13" applyFont="1" applyAlignment="1">
      <alignment horizontal="left" indent="2"/>
    </xf>
    <xf numFmtId="0" fontId="29" fillId="0" borderId="0" xfId="13" applyFont="1" applyFill="1"/>
    <xf numFmtId="0" fontId="30" fillId="0" borderId="15" xfId="13" applyFont="1" applyFill="1" applyBorder="1"/>
    <xf numFmtId="177" fontId="30" fillId="0" borderId="0" xfId="13" applyNumberFormat="1" applyFont="1" applyBorder="1"/>
    <xf numFmtId="177" fontId="37" fillId="0" borderId="0" xfId="13" applyNumberFormat="1" applyFont="1" applyBorder="1"/>
    <xf numFmtId="0" fontId="29" fillId="0" borderId="0" xfId="13" applyFont="1" applyFill="1" applyAlignment="1">
      <alignment horizontal="left" indent="2"/>
    </xf>
    <xf numFmtId="0" fontId="29" fillId="0" borderId="12" xfId="13" applyFont="1" applyBorder="1"/>
    <xf numFmtId="177" fontId="27" fillId="0" borderId="12" xfId="13" applyNumberFormat="1" applyFont="1" applyBorder="1"/>
    <xf numFmtId="0" fontId="30" fillId="0" borderId="0" xfId="13" applyFont="1" applyFill="1" applyBorder="1"/>
    <xf numFmtId="0" fontId="29" fillId="0" borderId="12" xfId="13" applyFont="1" applyFill="1" applyBorder="1" applyAlignment="1">
      <alignment horizontal="left" indent="2"/>
    </xf>
    <xf numFmtId="177" fontId="37" fillId="0" borderId="7" xfId="13" applyNumberFormat="1" applyFont="1" applyBorder="1"/>
    <xf numFmtId="0" fontId="30" fillId="0" borderId="7" xfId="13" applyFont="1" applyFill="1" applyBorder="1" applyAlignment="1">
      <alignment horizontal="left" indent="1"/>
    </xf>
    <xf numFmtId="0" fontId="40" fillId="0" borderId="0" xfId="13" applyFont="1" applyAlignment="1">
      <alignment horizontal="left" indent="2"/>
    </xf>
    <xf numFmtId="177" fontId="27" fillId="0" borderId="0" xfId="13" applyNumberFormat="1" applyFont="1" applyBorder="1"/>
    <xf numFmtId="0" fontId="29" fillId="0" borderId="12" xfId="13" applyFont="1" applyBorder="1" applyAlignment="1">
      <alignment horizontal="left" indent="2"/>
    </xf>
    <xf numFmtId="0" fontId="30" fillId="0" borderId="7" xfId="13" applyFont="1" applyBorder="1"/>
    <xf numFmtId="0" fontId="30" fillId="0" borderId="0" xfId="13" applyFont="1" applyBorder="1"/>
    <xf numFmtId="190" fontId="40" fillId="0" borderId="0" xfId="2" applyNumberFormat="1" applyFont="1">
      <alignment vertical="top"/>
    </xf>
    <xf numFmtId="0" fontId="29" fillId="0" borderId="22" xfId="13" applyFont="1" applyFill="1" applyBorder="1"/>
    <xf numFmtId="177" fontId="27" fillId="0" borderId="22" xfId="13" applyNumberFormat="1" applyFont="1" applyBorder="1"/>
    <xf numFmtId="177" fontId="29" fillId="6" borderId="16" xfId="13" applyNumberFormat="1" applyFont="1" applyFill="1" applyBorder="1"/>
    <xf numFmtId="177" fontId="29" fillId="6" borderId="17" xfId="13" applyNumberFormat="1" applyFont="1" applyFill="1" applyBorder="1"/>
    <xf numFmtId="0" fontId="29" fillId="6" borderId="6" xfId="13" applyFont="1" applyFill="1" applyBorder="1"/>
    <xf numFmtId="177" fontId="29" fillId="6" borderId="23" xfId="13" applyNumberFormat="1" applyFont="1" applyFill="1" applyBorder="1"/>
    <xf numFmtId="177" fontId="29" fillId="6" borderId="24" xfId="13" applyNumberFormat="1" applyFont="1" applyFill="1" applyBorder="1"/>
    <xf numFmtId="177" fontId="30" fillId="6" borderId="25" xfId="13" applyNumberFormat="1" applyFont="1" applyFill="1" applyBorder="1"/>
    <xf numFmtId="177" fontId="30" fillId="6" borderId="0" xfId="13" applyNumberFormat="1" applyFont="1" applyFill="1" applyBorder="1"/>
    <xf numFmtId="177" fontId="30" fillId="6" borderId="10" xfId="13" applyNumberFormat="1" applyFont="1" applyFill="1" applyBorder="1"/>
    <xf numFmtId="0" fontId="30" fillId="6" borderId="9" xfId="13" applyFont="1" applyFill="1" applyBorder="1"/>
    <xf numFmtId="177" fontId="29" fillId="6" borderId="0" xfId="13" applyNumberFormat="1" applyFont="1" applyFill="1" applyBorder="1"/>
    <xf numFmtId="177" fontId="29" fillId="6" borderId="10" xfId="13" applyNumberFormat="1" applyFont="1" applyFill="1" applyBorder="1"/>
    <xf numFmtId="0" fontId="29" fillId="6" borderId="9" xfId="13" applyFont="1" applyFill="1" applyBorder="1"/>
    <xf numFmtId="0" fontId="29" fillId="6" borderId="26" xfId="13" applyFont="1" applyFill="1" applyBorder="1"/>
    <xf numFmtId="177" fontId="29" fillId="6" borderId="27" xfId="13" applyNumberFormat="1" applyFont="1" applyFill="1" applyBorder="1"/>
    <xf numFmtId="0" fontId="30" fillId="6" borderId="25" xfId="13" applyFont="1" applyFill="1" applyBorder="1"/>
    <xf numFmtId="0" fontId="29" fillId="6" borderId="9" xfId="13" applyFont="1" applyFill="1" applyBorder="1" applyAlignment="1">
      <alignment horizontal="left" indent="2"/>
    </xf>
    <xf numFmtId="0" fontId="29" fillId="6" borderId="25" xfId="13" applyFont="1" applyFill="1" applyBorder="1"/>
    <xf numFmtId="177" fontId="29" fillId="6" borderId="28" xfId="13" applyNumberFormat="1" applyFont="1" applyFill="1" applyBorder="1"/>
    <xf numFmtId="0" fontId="30" fillId="6" borderId="29" xfId="13" applyFont="1" applyFill="1" applyBorder="1"/>
    <xf numFmtId="177" fontId="30" fillId="6" borderId="12" xfId="13" applyNumberFormat="1" applyFont="1" applyFill="1" applyBorder="1"/>
    <xf numFmtId="177" fontId="30" fillId="6" borderId="13" xfId="13" applyNumberFormat="1" applyFont="1" applyFill="1" applyBorder="1"/>
    <xf numFmtId="0" fontId="32" fillId="5" borderId="0" xfId="11" applyFont="1" applyFill="1"/>
    <xf numFmtId="0" fontId="34" fillId="5" borderId="0" xfId="11" applyFont="1" applyFill="1"/>
    <xf numFmtId="0" fontId="26" fillId="0" borderId="0" xfId="9" applyFont="1"/>
    <xf numFmtId="0" fontId="2" fillId="3" borderId="4" xfId="12" applyFont="1"/>
    <xf numFmtId="0" fontId="33" fillId="5" borderId="0" xfId="11" applyFont="1" applyFill="1"/>
    <xf numFmtId="0" fontId="33" fillId="5" borderId="0" xfId="11" applyFont="1" applyFill="1" applyAlignment="1">
      <alignment horizontal="right"/>
    </xf>
    <xf numFmtId="0" fontId="33" fillId="5" borderId="0" xfId="11" quotePrefix="1" applyFont="1" applyFill="1" applyAlignment="1">
      <alignment horizontal="right"/>
    </xf>
    <xf numFmtId="172" fontId="2" fillId="0" borderId="0" xfId="10" applyNumberFormat="1" applyFont="1"/>
    <xf numFmtId="176" fontId="2" fillId="0" borderId="0" xfId="10" applyNumberFormat="1" applyFont="1"/>
    <xf numFmtId="176" fontId="26" fillId="0" borderId="0" xfId="9" applyNumberFormat="1" applyFont="1"/>
    <xf numFmtId="0" fontId="21" fillId="6" borderId="6" xfId="9" applyFont="1" applyFill="1" applyBorder="1"/>
    <xf numFmtId="174" fontId="2" fillId="6" borderId="7" xfId="10" applyNumberFormat="1" applyFont="1" applyFill="1" applyBorder="1"/>
    <xf numFmtId="0" fontId="26" fillId="6" borderId="7" xfId="9" applyFont="1" applyFill="1" applyBorder="1"/>
    <xf numFmtId="176" fontId="26" fillId="6" borderId="7" xfId="9" applyNumberFormat="1" applyFont="1" applyFill="1" applyBorder="1"/>
    <xf numFmtId="176" fontId="21" fillId="6" borderId="8" xfId="9" applyNumberFormat="1" applyFont="1" applyFill="1" applyBorder="1"/>
    <xf numFmtId="0" fontId="21" fillId="6" borderId="9" xfId="9" applyFont="1" applyFill="1" applyBorder="1"/>
    <xf numFmtId="174" fontId="2" fillId="6" borderId="0" xfId="10" applyNumberFormat="1" applyFont="1" applyFill="1" applyBorder="1"/>
    <xf numFmtId="0" fontId="26" fillId="6" borderId="0" xfId="9" applyFont="1" applyFill="1" applyBorder="1"/>
    <xf numFmtId="176" fontId="26" fillId="6" borderId="0" xfId="9" applyNumberFormat="1" applyFont="1" applyFill="1" applyBorder="1"/>
    <xf numFmtId="176" fontId="21" fillId="6" borderId="10" xfId="9" applyNumberFormat="1" applyFont="1" applyFill="1" applyBorder="1"/>
    <xf numFmtId="0" fontId="21" fillId="6" borderId="11" xfId="9" applyFont="1" applyFill="1" applyBorder="1"/>
    <xf numFmtId="174" fontId="2" fillId="6" borderId="12" xfId="10" applyNumberFormat="1" applyFont="1" applyFill="1" applyBorder="1"/>
    <xf numFmtId="0" fontId="26" fillId="6" borderId="12" xfId="9" applyFont="1" applyFill="1" applyBorder="1"/>
    <xf numFmtId="176" fontId="26" fillId="6" borderId="12" xfId="9" applyNumberFormat="1" applyFont="1" applyFill="1" applyBorder="1"/>
    <xf numFmtId="176" fontId="21" fillId="6" borderId="13" xfId="9" applyNumberFormat="1" applyFont="1" applyFill="1" applyBorder="1"/>
  </cellXfs>
  <cellStyles count="17">
    <cellStyle name="Accent1 2" xfId="11" xr:uid="{F956C4B0-EDA6-42FE-99DC-124F2B8AC908}"/>
    <cellStyle name="Comma" xfId="1" builtinId="3"/>
    <cellStyle name="Comma 2" xfId="10" xr:uid="{6A683D7D-06D8-4C2F-96D4-317627B9F1FC}"/>
    <cellStyle name="Currency" xfId="7" builtinId="4"/>
    <cellStyle name="Currency 2" xfId="16" xr:uid="{D45E403A-1616-44C5-8599-F6912DC53A80}"/>
    <cellStyle name="DateLong" xfId="4" xr:uid="{2769D629-A7A3-4EC5-B988-70D220C91F74}"/>
    <cellStyle name="DateShort" xfId="5" xr:uid="{A408EF2B-A70B-4F3D-8179-BF3DAA625A9E}"/>
    <cellStyle name="Factor" xfId="3" xr:uid="{A1610E1D-A8C0-4856-ACE2-329C3E84DEAE}"/>
    <cellStyle name="Normal" xfId="0" builtinId="0" customBuiltin="1"/>
    <cellStyle name="Normal 2" xfId="8" xr:uid="{194AC73D-4A9D-4321-B21E-29E56F0FA9D9}"/>
    <cellStyle name="Normal 2 2" xfId="13" xr:uid="{BD609A85-0A90-433A-9E4E-05F6CED08F0B}"/>
    <cellStyle name="Normal 3" xfId="9" xr:uid="{0CB9C1B9-9A75-4A81-8016-B2766E9D35D6}"/>
    <cellStyle name="Normal 3 2" xfId="14" xr:uid="{DB63F5CF-F5AE-4AD5-9877-C29084A3ED68}"/>
    <cellStyle name="Note 2" xfId="12" xr:uid="{37D3E10A-7757-4A8C-A247-938A4A7D7516}"/>
    <cellStyle name="Percent" xfId="2" builtinId="5" customBuiltin="1"/>
    <cellStyle name="Percent 2" xfId="15" xr:uid="{88671C08-F3EE-4434-BD8D-B5BE5E474804}"/>
    <cellStyle name="Year" xfId="6" xr:uid="{DE81D7C1-E5E3-4780-AAC3-6A90A472E14C}"/>
  </cellStyles>
  <dxfs count="6">
    <dxf>
      <font>
        <color auto="1"/>
      </font>
      <fill>
        <patternFill>
          <bgColor rgb="FFFFFFA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14996795556505021"/>
      </font>
      <fill>
        <patternFill patternType="lightGray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 tint="-0.14996795556505021"/>
      </font>
      <fill>
        <patternFill patternType="gray125">
          <bgColor auto="1"/>
        </patternFill>
      </fill>
    </dxf>
    <dxf>
      <font>
        <color theme="0" tint="-0.14996795556505021"/>
      </font>
      <fill>
        <patternFill patternType="lightGray">
          <fgColor theme="0" tint="-0.1499374370555742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rgb="FFFFFFA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14996795556505021"/>
      </font>
      <fill>
        <patternFill patternType="lightGray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colors>
    <mruColors>
      <color rgb="FFCC99FF"/>
      <color rgb="FFFDF9F3"/>
      <color rgb="FF3586BF"/>
      <color rgb="FFFFFFA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erjarvis\Dropbox%20(Personal)\50Folds\EXCEL\DONE\Ecommerce%20model\v%201.2\50Folds%20Ecommerce%20model%20v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ting"/>
      <sheetName val="P&amp;L Actual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2B32-BA29-4C90-AB56-E1C94B693B37}">
  <dimension ref="A1:Q199"/>
  <sheetViews>
    <sheetView showGridLines="0" topLeftCell="A109" zoomScaleNormal="100" workbookViewId="0">
      <selection activeCell="C6" sqref="C6"/>
    </sheetView>
  </sheetViews>
  <sheetFormatPr defaultColWidth="9.140625" defaultRowHeight="14.25" outlineLevelRow="1"/>
  <cols>
    <col min="1" max="2" width="3.7109375" style="2" customWidth="1"/>
    <col min="3" max="3" width="46.42578125" style="2" bestFit="1" customWidth="1"/>
    <col min="4" max="4" width="11.7109375" style="2" bestFit="1" customWidth="1"/>
    <col min="5" max="5" width="11.85546875" style="2" bestFit="1" customWidth="1"/>
    <col min="6" max="6" width="16.85546875" style="2" bestFit="1" customWidth="1"/>
    <col min="7" max="7" width="18.140625" style="2" customWidth="1"/>
    <col min="8" max="11" width="18.140625" style="2" bestFit="1" customWidth="1"/>
    <col min="12" max="12" width="3.42578125" style="2" customWidth="1"/>
    <col min="13" max="13" width="9.140625" style="2" customWidth="1"/>
    <col min="14" max="14" width="23.85546875" style="2" bestFit="1" customWidth="1"/>
    <col min="15" max="17" width="9.140625" style="2" customWidth="1"/>
    <col min="18" max="16384" width="9.140625" style="2"/>
  </cols>
  <sheetData>
    <row r="1" spans="1:11" ht="30">
      <c r="A1" s="60" t="s">
        <v>82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F2" s="4"/>
    </row>
    <row r="3" spans="1:11" ht="15">
      <c r="B3" s="62" t="s">
        <v>1</v>
      </c>
      <c r="C3" s="61"/>
      <c r="D3" s="63"/>
      <c r="E3" s="93" t="s">
        <v>56</v>
      </c>
      <c r="F3" s="64" t="s">
        <v>64</v>
      </c>
      <c r="G3" s="64"/>
      <c r="H3" s="64"/>
      <c r="I3" s="64"/>
      <c r="J3" s="64"/>
      <c r="K3" s="64"/>
    </row>
    <row r="4" spans="1:11" s="8" customFormat="1">
      <c r="C4" s="1" t="s">
        <v>80</v>
      </c>
      <c r="D4" s="6"/>
      <c r="E4" s="6" t="s">
        <v>46</v>
      </c>
      <c r="F4" s="9">
        <v>6000</v>
      </c>
    </row>
    <row r="5" spans="1:11" s="8" customFormat="1">
      <c r="C5" s="1" t="s">
        <v>79</v>
      </c>
      <c r="D5" s="6"/>
      <c r="E5" s="6" t="s">
        <v>46</v>
      </c>
      <c r="F5" s="9">
        <v>2500</v>
      </c>
    </row>
    <row r="6" spans="1:11" s="8" customFormat="1">
      <c r="C6" s="1" t="s">
        <v>81</v>
      </c>
      <c r="D6" s="6"/>
      <c r="E6" s="6" t="s">
        <v>46</v>
      </c>
      <c r="F6" s="9">
        <v>1500</v>
      </c>
    </row>
    <row r="7" spans="1:11" s="8" customFormat="1">
      <c r="C7" s="52"/>
      <c r="D7" s="6"/>
      <c r="E7" s="6" t="s">
        <v>46</v>
      </c>
      <c r="F7" s="54"/>
    </row>
    <row r="8" spans="1:11" s="8" customFormat="1" ht="15">
      <c r="C8" s="27" t="s">
        <v>44</v>
      </c>
      <c r="D8" s="27"/>
      <c r="E8" s="27" t="s">
        <v>46</v>
      </c>
      <c r="F8" s="55">
        <f>SUM(F4:F7)</f>
        <v>10000</v>
      </c>
      <c r="G8" s="10"/>
    </row>
    <row r="9" spans="1:11" s="8" customFormat="1">
      <c r="C9" s="6"/>
      <c r="D9" s="6"/>
      <c r="E9" s="6"/>
      <c r="F9" s="53"/>
      <c r="G9" s="10"/>
    </row>
    <row r="10" spans="1:11" s="8" customFormat="1">
      <c r="C10" s="6" t="s">
        <v>66</v>
      </c>
      <c r="D10" s="6"/>
      <c r="E10" s="6" t="s">
        <v>45</v>
      </c>
      <c r="F10" s="67">
        <v>100000000</v>
      </c>
      <c r="G10" s="10"/>
    </row>
    <row r="11" spans="1:11" s="8" customFormat="1">
      <c r="C11" s="6" t="s">
        <v>67</v>
      </c>
      <c r="D11" s="6"/>
      <c r="E11" s="6" t="s">
        <v>49</v>
      </c>
      <c r="F11" s="22">
        <v>0.1</v>
      </c>
      <c r="G11" s="10"/>
    </row>
    <row r="12" spans="1:11" s="8" customFormat="1">
      <c r="C12" s="6" t="s">
        <v>65</v>
      </c>
      <c r="D12" s="6"/>
      <c r="E12" s="6" t="s">
        <v>45</v>
      </c>
      <c r="F12" s="53">
        <f>F10*(1-F11)</f>
        <v>90000000</v>
      </c>
      <c r="G12" s="10"/>
    </row>
    <row r="13" spans="1:11" s="8" customFormat="1">
      <c r="C13" s="6" t="s">
        <v>68</v>
      </c>
      <c r="D13" s="6"/>
      <c r="E13" s="6" t="s">
        <v>45</v>
      </c>
      <c r="F13" s="53">
        <f>F10-F12</f>
        <v>10000000</v>
      </c>
      <c r="G13" s="10"/>
    </row>
    <row r="14" spans="1:11" s="8" customFormat="1">
      <c r="C14" s="6"/>
      <c r="D14" s="6"/>
      <c r="E14" s="6"/>
      <c r="F14" s="53"/>
      <c r="G14" s="10"/>
    </row>
    <row r="15" spans="1:11" s="8" customFormat="1">
      <c r="B15" s="8" t="s">
        <v>114</v>
      </c>
      <c r="C15" s="6"/>
      <c r="D15" s="6"/>
      <c r="E15" s="6"/>
      <c r="F15" s="53"/>
      <c r="G15" s="10"/>
    </row>
    <row r="16" spans="1:11" s="8" customFormat="1">
      <c r="C16" s="6" t="str">
        <f>C4</f>
        <v>Michael Davidson</v>
      </c>
      <c r="D16" s="6"/>
      <c r="E16" s="6" t="s">
        <v>45</v>
      </c>
      <c r="F16" s="53">
        <f>F4/$F$8*$F$12</f>
        <v>54000000</v>
      </c>
      <c r="G16" s="10"/>
    </row>
    <row r="17" spans="2:13" s="8" customFormat="1">
      <c r="C17" s="6" t="str">
        <f t="shared" ref="C17:C18" si="0">C5</f>
        <v>Daniel Cole</v>
      </c>
      <c r="D17" s="6"/>
      <c r="E17" s="6" t="s">
        <v>45</v>
      </c>
      <c r="F17" s="53">
        <f>F5/$F$8*$F$12</f>
        <v>22500000</v>
      </c>
      <c r="G17" s="10"/>
    </row>
    <row r="18" spans="2:13" s="8" customFormat="1">
      <c r="C18" s="6" t="str">
        <f t="shared" si="0"/>
        <v>David Koffi</v>
      </c>
      <c r="D18" s="6"/>
      <c r="E18" s="6" t="s">
        <v>45</v>
      </c>
      <c r="F18" s="53">
        <f>F6/$F$8*$F$12</f>
        <v>13500000</v>
      </c>
      <c r="G18" s="10"/>
    </row>
    <row r="19" spans="2:13" s="8" customFormat="1">
      <c r="C19" s="6" t="s">
        <v>76</v>
      </c>
      <c r="D19" s="6"/>
      <c r="E19" s="6" t="s">
        <v>45</v>
      </c>
      <c r="F19" s="53">
        <f>F13</f>
        <v>10000000</v>
      </c>
      <c r="G19" s="10"/>
    </row>
    <row r="20" spans="2:13" s="8" customFormat="1">
      <c r="C20" s="6"/>
      <c r="D20" s="6"/>
      <c r="E20" s="6"/>
      <c r="F20" s="18"/>
      <c r="G20" s="10"/>
    </row>
    <row r="21" spans="2:13" s="8" customFormat="1" ht="15">
      <c r="B21" s="80" t="s">
        <v>115</v>
      </c>
      <c r="C21" s="81"/>
      <c r="D21" s="81"/>
      <c r="E21" s="81"/>
      <c r="F21" s="82"/>
      <c r="G21" s="10"/>
    </row>
    <row r="22" spans="2:13" s="8" customFormat="1" ht="15">
      <c r="B22" s="83"/>
      <c r="C22" s="79" t="str">
        <f>C4</f>
        <v>Michael Davidson</v>
      </c>
      <c r="D22" s="79"/>
      <c r="E22" s="79" t="s">
        <v>49</v>
      </c>
      <c r="F22" s="84">
        <f>F16/$F$10</f>
        <v>0.54</v>
      </c>
      <c r="G22" s="10"/>
    </row>
    <row r="23" spans="2:13" s="8" customFormat="1" ht="15">
      <c r="B23" s="83"/>
      <c r="C23" s="79" t="str">
        <f>C5</f>
        <v>Daniel Cole</v>
      </c>
      <c r="D23" s="79"/>
      <c r="E23" s="79" t="s">
        <v>49</v>
      </c>
      <c r="F23" s="84">
        <f t="shared" ref="F23:F24" si="1">F17/$F$10</f>
        <v>0.22500000000000001</v>
      </c>
      <c r="G23" s="10"/>
    </row>
    <row r="24" spans="2:13" s="8" customFormat="1" ht="15">
      <c r="B24" s="85"/>
      <c r="C24" s="86" t="str">
        <f>C6</f>
        <v>David Koffi</v>
      </c>
      <c r="D24" s="86"/>
      <c r="E24" s="86" t="s">
        <v>49</v>
      </c>
      <c r="F24" s="87">
        <f t="shared" si="1"/>
        <v>0.13500000000000001</v>
      </c>
      <c r="G24" s="10"/>
    </row>
    <row r="25" spans="2:13" s="8" customFormat="1">
      <c r="C25" s="6"/>
      <c r="D25" s="6"/>
      <c r="E25" s="6"/>
      <c r="F25" s="6"/>
    </row>
    <row r="26" spans="2:13" s="8" customFormat="1" ht="15">
      <c r="B26" s="65" t="s">
        <v>33</v>
      </c>
      <c r="C26" s="61"/>
      <c r="D26" s="62"/>
      <c r="E26" s="62" t="s">
        <v>56</v>
      </c>
      <c r="F26" s="66" t="s">
        <v>1</v>
      </c>
      <c r="G26" s="66" t="s">
        <v>2</v>
      </c>
      <c r="H26" s="66" t="s">
        <v>3</v>
      </c>
      <c r="I26" s="66" t="s">
        <v>4</v>
      </c>
      <c r="J26" s="66" t="s">
        <v>5</v>
      </c>
      <c r="K26" s="66" t="s">
        <v>35</v>
      </c>
      <c r="L26" s="6"/>
      <c r="M26" s="5"/>
    </row>
    <row r="27" spans="2:13" s="11" customFormat="1">
      <c r="C27" s="12" t="s">
        <v>10</v>
      </c>
      <c r="D27" s="12"/>
      <c r="E27" s="12" t="s">
        <v>48</v>
      </c>
      <c r="F27" s="57"/>
      <c r="G27" s="89">
        <v>44774</v>
      </c>
      <c r="H27" s="89">
        <f>EOMONTH(G27,12)</f>
        <v>45169</v>
      </c>
      <c r="I27" s="89">
        <f>EOMONTH(H27,12)</f>
        <v>45535</v>
      </c>
      <c r="J27" s="89">
        <f>EOMONTH(I27,12)</f>
        <v>45900</v>
      </c>
      <c r="K27" s="89">
        <f>EOMONTH(J27,12)</f>
        <v>46265</v>
      </c>
      <c r="L27" s="12"/>
      <c r="M27" s="48"/>
    </row>
    <row r="28" spans="2:13">
      <c r="C28" s="2" t="s">
        <v>11</v>
      </c>
      <c r="E28" s="2" t="s">
        <v>47</v>
      </c>
      <c r="F28" s="6"/>
      <c r="G28" s="68" t="s">
        <v>9</v>
      </c>
      <c r="H28" s="68" t="s">
        <v>9</v>
      </c>
      <c r="I28" s="68" t="s">
        <v>14</v>
      </c>
      <c r="J28" s="68" t="s">
        <v>14</v>
      </c>
      <c r="K28" s="68" t="s">
        <v>14</v>
      </c>
      <c r="L28" s="31"/>
      <c r="M28" s="13"/>
    </row>
    <row r="29" spans="2:13">
      <c r="C29" s="8" t="s">
        <v>12</v>
      </c>
      <c r="E29" s="6" t="s">
        <v>46</v>
      </c>
      <c r="F29" s="18"/>
      <c r="G29" s="88">
        <v>50000</v>
      </c>
      <c r="H29" s="88">
        <v>500000</v>
      </c>
      <c r="I29" s="88">
        <v>1000000</v>
      </c>
      <c r="J29" s="88">
        <v>5000000</v>
      </c>
      <c r="K29" s="88">
        <v>50000000</v>
      </c>
      <c r="L29" s="31"/>
      <c r="M29" s="14"/>
    </row>
    <row r="30" spans="2:13">
      <c r="C30" s="2" t="s">
        <v>77</v>
      </c>
      <c r="E30" s="6" t="s">
        <v>45</v>
      </c>
      <c r="F30" s="36"/>
      <c r="G30" s="90"/>
      <c r="H30" s="90">
        <v>1000</v>
      </c>
      <c r="I30" s="90">
        <v>0</v>
      </c>
      <c r="J30" s="90">
        <v>0</v>
      </c>
      <c r="K30" s="90">
        <v>0</v>
      </c>
      <c r="L30" s="31"/>
      <c r="M30" s="14"/>
    </row>
    <row r="31" spans="2:13">
      <c r="C31" s="2" t="s">
        <v>78</v>
      </c>
      <c r="E31" s="2" t="s">
        <v>49</v>
      </c>
      <c r="F31" s="59"/>
      <c r="G31" s="26">
        <f>G109</f>
        <v>0</v>
      </c>
      <c r="H31" s="26">
        <f>H111</f>
        <v>9.9999000009999908E-6</v>
      </c>
      <c r="I31" s="26">
        <f>I113</f>
        <v>0</v>
      </c>
      <c r="J31" s="26">
        <f>J115</f>
        <v>0</v>
      </c>
      <c r="K31" s="26">
        <f>K117</f>
        <v>0</v>
      </c>
      <c r="L31" s="31"/>
      <c r="M31" s="14"/>
    </row>
    <row r="32" spans="2:13">
      <c r="F32" s="36"/>
      <c r="L32" s="31"/>
      <c r="M32" s="14"/>
    </row>
    <row r="33" spans="3:15">
      <c r="C33" s="15" t="s">
        <v>29</v>
      </c>
      <c r="D33" s="15"/>
      <c r="E33" s="15"/>
      <c r="F33" s="36"/>
      <c r="L33" s="31"/>
      <c r="M33" s="31"/>
    </row>
    <row r="34" spans="3:15">
      <c r="C34" s="2" t="s">
        <v>24</v>
      </c>
      <c r="E34" s="2" t="s">
        <v>46</v>
      </c>
      <c r="F34" s="32">
        <v>0</v>
      </c>
      <c r="G34" s="88">
        <v>1500000</v>
      </c>
      <c r="H34" s="88">
        <v>5000000</v>
      </c>
      <c r="I34" s="88">
        <v>10000000</v>
      </c>
      <c r="J34" s="88">
        <v>40000000</v>
      </c>
      <c r="K34" s="88">
        <v>500000000</v>
      </c>
      <c r="L34" s="31"/>
      <c r="M34" s="7"/>
    </row>
    <row r="35" spans="3:15">
      <c r="C35" s="8" t="s">
        <v>36</v>
      </c>
      <c r="D35" s="8"/>
      <c r="E35" s="8" t="s">
        <v>46</v>
      </c>
      <c r="F35" s="69">
        <f>F8</f>
        <v>10000</v>
      </c>
      <c r="G35" s="70">
        <f>G29+G34</f>
        <v>1550000</v>
      </c>
      <c r="H35" s="70">
        <f>H29+H34</f>
        <v>5500000</v>
      </c>
      <c r="I35" s="70">
        <f>I29+I34</f>
        <v>11000000</v>
      </c>
      <c r="J35" s="70">
        <f>J29+J34</f>
        <v>45000000</v>
      </c>
      <c r="K35" s="70">
        <f>K29+K34</f>
        <v>550000000</v>
      </c>
      <c r="L35" s="31"/>
      <c r="M35" s="7"/>
    </row>
    <row r="36" spans="3:15">
      <c r="F36" s="36"/>
      <c r="G36" s="16"/>
      <c r="H36" s="16"/>
      <c r="I36" s="16"/>
      <c r="J36" s="16"/>
      <c r="K36" s="16"/>
      <c r="L36" s="31"/>
      <c r="M36" s="7"/>
    </row>
    <row r="37" spans="3:15">
      <c r="C37" s="2" t="s">
        <v>71</v>
      </c>
      <c r="E37" s="2" t="s">
        <v>46</v>
      </c>
      <c r="F37" s="50">
        <f>IFERROR(F8/F101,0)</f>
        <v>1E-4</v>
      </c>
      <c r="G37" s="50">
        <f>IFERROR(G34/(G101-G91),0)</f>
        <v>1.4999999999999999E-2</v>
      </c>
      <c r="H37" s="50">
        <f>IFERROR(H34/(H101-H93),0)</f>
        <v>4.9999500004999947E-2</v>
      </c>
      <c r="I37" s="50">
        <f>IFERROR(I34/(I101-I95),0)</f>
        <v>9.2881913194558574E-2</v>
      </c>
      <c r="J37" s="50">
        <f>IFERROR(J34/(J101-J97),0)</f>
        <v>0.33995194955543107</v>
      </c>
      <c r="K37" s="50">
        <f>IFERROR(K34/(K101-K99),0)</f>
        <v>3.7772438839492342</v>
      </c>
      <c r="L37" s="31"/>
      <c r="M37" s="7"/>
    </row>
    <row r="38" spans="3:15" s="3" customFormat="1">
      <c r="C38" s="2" t="s">
        <v>72</v>
      </c>
      <c r="D38" s="11"/>
      <c r="E38" s="12" t="s">
        <v>46</v>
      </c>
      <c r="F38" s="50">
        <f>IFERROR(F8/F41,0)</f>
        <v>1.1111111111111112E-4</v>
      </c>
      <c r="G38" s="50">
        <f>IFERROR(G34/(G101-G91-G30),0)</f>
        <v>1.4999999999999999E-2</v>
      </c>
      <c r="H38" s="50">
        <f>IFERROR(H34/(H101-H93-H30),0)</f>
        <v>0.05</v>
      </c>
      <c r="I38" s="50">
        <f>IFERROR(I34/(I101-I95-I30),0)</f>
        <v>9.2881913194558574E-2</v>
      </c>
      <c r="J38" s="50">
        <f>IFERROR(J34/(J101-J97-J30),0)</f>
        <v>0.33995194955543107</v>
      </c>
      <c r="K38" s="50">
        <f>IFERROR(K34/(K101-K99-K30),0)</f>
        <v>3.7772438839492342</v>
      </c>
      <c r="L38" s="46"/>
      <c r="M38" s="49"/>
      <c r="N38" s="51"/>
      <c r="O38" s="51"/>
    </row>
    <row r="39" spans="3:15" s="3" customFormat="1">
      <c r="C39" s="11"/>
      <c r="D39" s="11"/>
      <c r="E39" s="12"/>
      <c r="F39" s="50"/>
      <c r="G39" s="50"/>
      <c r="H39" s="50"/>
      <c r="I39" s="50"/>
      <c r="J39" s="50"/>
      <c r="K39" s="50"/>
      <c r="L39" s="46"/>
      <c r="M39" s="49"/>
      <c r="N39" s="51"/>
      <c r="O39" s="51"/>
    </row>
    <row r="40" spans="3:15">
      <c r="C40" s="8" t="s">
        <v>69</v>
      </c>
      <c r="E40" s="2" t="s">
        <v>45</v>
      </c>
      <c r="F40" s="32">
        <f>F10</f>
        <v>100000000</v>
      </c>
      <c r="G40" s="69">
        <f>G101-F101</f>
        <v>0</v>
      </c>
      <c r="H40" s="69">
        <f>H101-G101</f>
        <v>1000</v>
      </c>
      <c r="I40" s="69">
        <f>I101-H101</f>
        <v>17662687.625</v>
      </c>
      <c r="J40" s="69">
        <f>J101-I101</f>
        <v>14707960.953125</v>
      </c>
      <c r="K40" s="69">
        <f>K101-J101</f>
        <v>13237164.857812494</v>
      </c>
      <c r="L40" s="31"/>
      <c r="M40" s="14"/>
    </row>
    <row r="41" spans="3:15" s="8" customFormat="1">
      <c r="C41" s="8" t="s">
        <v>70</v>
      </c>
      <c r="E41" s="8" t="s">
        <v>45</v>
      </c>
      <c r="F41" s="69">
        <f>F12</f>
        <v>90000000</v>
      </c>
      <c r="G41" s="69">
        <f>G101-F101-G92</f>
        <v>0</v>
      </c>
      <c r="H41" s="69">
        <f>H101-G101-H94</f>
        <v>0</v>
      </c>
      <c r="I41" s="69">
        <f>I101-H101-I96</f>
        <v>17662687.625</v>
      </c>
      <c r="J41" s="69">
        <f>J101-I101-J98</f>
        <v>14707960.953125</v>
      </c>
      <c r="K41" s="69">
        <f>K101-J101-K100</f>
        <v>13237164.857812494</v>
      </c>
      <c r="L41" s="6"/>
      <c r="M41" s="14"/>
    </row>
    <row r="42" spans="3:15">
      <c r="C42" s="8"/>
      <c r="D42" s="8"/>
      <c r="E42" s="6"/>
      <c r="F42" s="10"/>
      <c r="G42" s="17"/>
      <c r="H42" s="17"/>
      <c r="I42" s="17"/>
      <c r="J42" s="17"/>
      <c r="K42" s="17"/>
      <c r="L42" s="31"/>
      <c r="M42" s="7"/>
      <c r="N42" s="51"/>
      <c r="O42" s="51"/>
    </row>
    <row r="43" spans="3:15" s="3" customFormat="1">
      <c r="C43" s="71" t="s">
        <v>74</v>
      </c>
      <c r="D43" s="72"/>
      <c r="E43" s="73" t="s">
        <v>45</v>
      </c>
      <c r="F43" s="74">
        <f>SUM(F40:K40)</f>
        <v>145608813.43593749</v>
      </c>
      <c r="L43" s="46"/>
      <c r="M43" s="24"/>
    </row>
    <row r="44" spans="3:15" s="23" customFormat="1">
      <c r="C44" s="75" t="s">
        <v>73</v>
      </c>
      <c r="D44" s="76"/>
      <c r="E44" s="77" t="s">
        <v>45</v>
      </c>
      <c r="F44" s="78">
        <f>SUM(F41:K41)</f>
        <v>135607813.43593749</v>
      </c>
      <c r="L44" s="45"/>
      <c r="M44" s="24"/>
    </row>
    <row r="45" spans="3:15">
      <c r="C45" s="8"/>
      <c r="D45" s="8"/>
      <c r="E45" s="6"/>
      <c r="F45" s="10"/>
      <c r="G45" s="17"/>
      <c r="H45" s="17"/>
      <c r="I45" s="17"/>
      <c r="J45" s="17"/>
      <c r="K45" s="17"/>
      <c r="L45" s="31"/>
      <c r="M45" s="7"/>
      <c r="N45" s="51"/>
      <c r="O45" s="51"/>
    </row>
    <row r="46" spans="3:15" s="19" customFormat="1">
      <c r="C46" s="20" t="s">
        <v>28</v>
      </c>
      <c r="D46" s="20"/>
      <c r="E46" s="20"/>
      <c r="F46" s="56"/>
      <c r="L46" s="47"/>
      <c r="M46" s="7"/>
      <c r="N46" s="2"/>
      <c r="O46" s="2"/>
    </row>
    <row r="47" spans="3:15">
      <c r="C47" s="2" t="s">
        <v>25</v>
      </c>
      <c r="E47" s="2" t="s">
        <v>49</v>
      </c>
      <c r="F47" s="21"/>
      <c r="G47" s="92">
        <v>0.05</v>
      </c>
      <c r="H47" s="92">
        <v>0.05</v>
      </c>
      <c r="I47" s="91">
        <v>0.05</v>
      </c>
      <c r="J47" s="22">
        <v>0.05</v>
      </c>
      <c r="K47" s="22">
        <v>0.05</v>
      </c>
      <c r="L47" s="47"/>
      <c r="M47" s="7"/>
      <c r="N47" s="58"/>
      <c r="O47" s="19"/>
    </row>
    <row r="48" spans="3:15">
      <c r="C48" s="2" t="s">
        <v>26</v>
      </c>
      <c r="E48" s="2" t="s">
        <v>46</v>
      </c>
      <c r="F48" s="36"/>
      <c r="G48" s="70">
        <f>H34</f>
        <v>5000000</v>
      </c>
      <c r="H48" s="70">
        <f>I34</f>
        <v>10000000</v>
      </c>
      <c r="I48" s="9">
        <v>500000</v>
      </c>
      <c r="J48" s="9">
        <v>500000</v>
      </c>
      <c r="K48" s="9">
        <v>500000</v>
      </c>
      <c r="L48" s="31"/>
      <c r="M48" s="14"/>
      <c r="N48" s="36"/>
    </row>
    <row r="49" spans="2:13">
      <c r="C49" s="2" t="s">
        <v>27</v>
      </c>
      <c r="E49" s="2" t="s">
        <v>49</v>
      </c>
      <c r="F49" s="21"/>
      <c r="G49" s="92">
        <v>0.15</v>
      </c>
      <c r="H49" s="91">
        <v>0.2</v>
      </c>
      <c r="I49" s="22">
        <v>0.2</v>
      </c>
      <c r="J49" s="22">
        <v>0.2</v>
      </c>
      <c r="K49" s="22">
        <v>0.2</v>
      </c>
      <c r="L49" s="31"/>
      <c r="M49" s="14"/>
    </row>
    <row r="51" spans="2:13" s="3" customFormat="1">
      <c r="C51" s="23"/>
      <c r="L51" s="46"/>
      <c r="M51" s="24"/>
    </row>
    <row r="52" spans="2:13" ht="15">
      <c r="B52" s="65" t="s">
        <v>61</v>
      </c>
      <c r="C52" s="61"/>
      <c r="D52" s="62"/>
      <c r="E52" s="62" t="s">
        <v>56</v>
      </c>
      <c r="F52" s="66" t="s">
        <v>1</v>
      </c>
      <c r="G52" s="66" t="s">
        <v>2</v>
      </c>
      <c r="H52" s="66" t="s">
        <v>3</v>
      </c>
      <c r="I52" s="66" t="s">
        <v>4</v>
      </c>
      <c r="J52" s="66" t="s">
        <v>5</v>
      </c>
      <c r="K52" s="66" t="s">
        <v>35</v>
      </c>
      <c r="L52" s="31"/>
      <c r="M52" s="14"/>
    </row>
    <row r="53" spans="2:13" ht="15" outlineLevel="1">
      <c r="C53" s="6" t="s">
        <v>31</v>
      </c>
      <c r="D53" s="25"/>
      <c r="E53" s="6" t="s">
        <v>49</v>
      </c>
      <c r="F53" s="26">
        <f t="shared" ref="F53:K53" si="2">F59</f>
        <v>0.9</v>
      </c>
      <c r="G53" s="26">
        <f>G59</f>
        <v>0.9</v>
      </c>
      <c r="H53" s="26">
        <f t="shared" si="2"/>
        <v>0.8999910000899991</v>
      </c>
      <c r="I53" s="26">
        <f t="shared" si="2"/>
        <v>0.76489188649971995</v>
      </c>
      <c r="J53" s="26">
        <f t="shared" si="2"/>
        <v>0.67990389911086213</v>
      </c>
      <c r="K53" s="26">
        <f t="shared" si="2"/>
        <v>0.61809445373714744</v>
      </c>
      <c r="L53" s="31"/>
      <c r="M53" s="14"/>
    </row>
    <row r="54" spans="2:13" ht="15" outlineLevel="1">
      <c r="C54" s="6" t="s">
        <v>62</v>
      </c>
      <c r="D54" s="25"/>
      <c r="E54" s="6" t="s">
        <v>49</v>
      </c>
      <c r="F54" s="26">
        <f>SUM(F60:F64)</f>
        <v>0</v>
      </c>
      <c r="G54" s="26">
        <f t="shared" ref="G54:K54" si="3">SUM(G60:G64)</f>
        <v>0</v>
      </c>
      <c r="H54" s="26">
        <f t="shared" si="3"/>
        <v>0</v>
      </c>
      <c r="I54" s="26">
        <f t="shared" si="3"/>
        <v>0.1501116273126834</v>
      </c>
      <c r="J54" s="26">
        <f t="shared" si="3"/>
        <v>0.24454366872238525</v>
      </c>
      <c r="K54" s="26">
        <f t="shared" si="3"/>
        <v>0.31322151702035028</v>
      </c>
      <c r="L54" s="31"/>
      <c r="M54" s="14"/>
    </row>
    <row r="55" spans="2:13" ht="15" outlineLevel="1">
      <c r="C55" s="6" t="s">
        <v>76</v>
      </c>
      <c r="D55" s="25"/>
      <c r="E55" s="6" t="s">
        <v>49</v>
      </c>
      <c r="F55" s="26">
        <f>F65</f>
        <v>0.1</v>
      </c>
      <c r="G55" s="26">
        <f t="shared" ref="G55:K55" si="4">G65</f>
        <v>0.1</v>
      </c>
      <c r="H55" s="26">
        <f t="shared" si="4"/>
        <v>0.1000089999100009</v>
      </c>
      <c r="I55" s="26">
        <f t="shared" si="4"/>
        <v>8.4996486187596657E-2</v>
      </c>
      <c r="J55" s="26">
        <f t="shared" si="4"/>
        <v>7.5552432166752587E-2</v>
      </c>
      <c r="K55" s="26">
        <f t="shared" si="4"/>
        <v>6.8684029242502345E-2</v>
      </c>
      <c r="L55" s="31"/>
      <c r="M55" s="14"/>
    </row>
    <row r="56" spans="2:13" ht="15" outlineLevel="1">
      <c r="C56" s="27" t="s">
        <v>62</v>
      </c>
      <c r="D56" s="27"/>
      <c r="E56" s="27" t="s">
        <v>49</v>
      </c>
      <c r="F56" s="28">
        <f>SUM(F53:F55)</f>
        <v>1</v>
      </c>
      <c r="G56" s="28">
        <f t="shared" ref="G56:K56" si="5">SUM(G53:G55)</f>
        <v>1</v>
      </c>
      <c r="H56" s="28">
        <f t="shared" si="5"/>
        <v>1</v>
      </c>
      <c r="I56" s="28">
        <f t="shared" si="5"/>
        <v>1</v>
      </c>
      <c r="J56" s="28">
        <f t="shared" si="5"/>
        <v>0.99999999999999989</v>
      </c>
      <c r="K56" s="28">
        <f t="shared" si="5"/>
        <v>1</v>
      </c>
      <c r="L56" s="31"/>
      <c r="M56" s="14"/>
    </row>
    <row r="57" spans="2:13">
      <c r="L57" s="31"/>
      <c r="M57" s="14"/>
    </row>
    <row r="58" spans="2:13" ht="15">
      <c r="B58" s="65" t="s">
        <v>63</v>
      </c>
      <c r="C58" s="61"/>
      <c r="D58" s="62"/>
      <c r="E58" s="62" t="s">
        <v>56</v>
      </c>
      <c r="F58" s="66" t="s">
        <v>1</v>
      </c>
      <c r="G58" s="66" t="s">
        <v>2</v>
      </c>
      <c r="H58" s="66" t="s">
        <v>3</v>
      </c>
      <c r="I58" s="66" t="s">
        <v>4</v>
      </c>
      <c r="J58" s="66" t="s">
        <v>5</v>
      </c>
      <c r="K58" s="66" t="s">
        <v>35</v>
      </c>
      <c r="L58" s="31"/>
      <c r="M58" s="5"/>
    </row>
    <row r="59" spans="2:13" outlineLevel="1">
      <c r="C59" s="6" t="s">
        <v>31</v>
      </c>
      <c r="D59" s="6"/>
      <c r="E59" s="6" t="s">
        <v>49</v>
      </c>
      <c r="F59" s="26">
        <f>IFERROR(SUM(CapTable!F104:F106),0)</f>
        <v>0.9</v>
      </c>
      <c r="G59" s="26">
        <f>IFERROR(SUM(CapTable!G104:G106),0)</f>
        <v>0.9</v>
      </c>
      <c r="H59" s="26">
        <f>IFERROR(SUM(CapTable!H104:H106),0)</f>
        <v>0.8999910000899991</v>
      </c>
      <c r="I59" s="26">
        <f>IFERROR(SUM(CapTable!I104:I106),0)</f>
        <v>0.76489188649971995</v>
      </c>
      <c r="J59" s="26">
        <f>IFERROR(SUM(CapTable!J104:J106),0)</f>
        <v>0.67990389911086213</v>
      </c>
      <c r="K59" s="26">
        <f>IFERROR(SUM(CapTable!K104:K106),0)</f>
        <v>0.61809445373714744</v>
      </c>
      <c r="L59" s="31"/>
      <c r="M59" s="7"/>
    </row>
    <row r="60" spans="2:13" outlineLevel="1">
      <c r="C60" s="6" t="str">
        <f>CapTable!G26&amp;" Investor"</f>
        <v>Angel Investor</v>
      </c>
      <c r="D60" s="6"/>
      <c r="E60" s="6" t="s">
        <v>49</v>
      </c>
      <c r="F60" s="26">
        <f>IFERROR(CapTable!F108,0)</f>
        <v>0</v>
      </c>
      <c r="G60" s="26">
        <f>IFERROR(CapTable!G108,0)</f>
        <v>0</v>
      </c>
      <c r="H60" s="26">
        <f>IFERROR(CapTable!H108,0)</f>
        <v>0</v>
      </c>
      <c r="I60" s="26">
        <f>IFERROR(CapTable!I108,0)</f>
        <v>9.3488655863466098E-3</v>
      </c>
      <c r="J60" s="26">
        <f>IFERROR(CapTable!J108,0)</f>
        <v>8.3101027434192096E-3</v>
      </c>
      <c r="K60" s="26">
        <f>IFERROR(CapTable!K108,0)</f>
        <v>7.5546388576538271E-3</v>
      </c>
      <c r="L60" s="31"/>
      <c r="M60" s="7"/>
    </row>
    <row r="61" spans="2:13" outlineLevel="1">
      <c r="C61" s="6" t="str">
        <f>CapTable!H26&amp;" Investor"</f>
        <v>Seed Investor</v>
      </c>
      <c r="D61" s="6"/>
      <c r="E61" s="6" t="s">
        <v>49</v>
      </c>
      <c r="F61" s="26">
        <f>IFERROR(CapTable!F110,0)</f>
        <v>0</v>
      </c>
      <c r="G61" s="26">
        <f>IFERROR(CapTable!G110,0)</f>
        <v>0</v>
      </c>
      <c r="H61" s="26">
        <f>IFERROR(CapTable!H110,0)</f>
        <v>0</v>
      </c>
      <c r="I61" s="26">
        <f>IFERROR(CapTable!I110,0)</f>
        <v>5.5773924457605151E-2</v>
      </c>
      <c r="J61" s="26">
        <f>IFERROR(CapTable!J110,0)</f>
        <v>4.9576821740093466E-2</v>
      </c>
      <c r="K61" s="26">
        <f>IFERROR(CapTable!K110,0)</f>
        <v>4.5069837945539516E-2</v>
      </c>
      <c r="L61" s="31"/>
      <c r="M61" s="7"/>
    </row>
    <row r="62" spans="2:13" outlineLevel="1">
      <c r="C62" s="6" t="str">
        <f>CapTable!I26&amp;" Investor"</f>
        <v>Series A Investor</v>
      </c>
      <c r="D62" s="6"/>
      <c r="E62" s="6" t="s">
        <v>49</v>
      </c>
      <c r="F62" s="26">
        <f>IFERROR(CapTable!F95,0)</f>
        <v>0</v>
      </c>
      <c r="G62" s="26">
        <f>IFERROR(CapTable!G95,0)</f>
        <v>0</v>
      </c>
      <c r="H62" s="26">
        <f>IFERROR(CapTable!H112,0)</f>
        <v>0</v>
      </c>
      <c r="I62" s="26">
        <f>IFERROR(CapTable!I112,0)</f>
        <v>8.498883726873166E-2</v>
      </c>
      <c r="J62" s="26">
        <f>IFERROR(CapTable!J112,0)</f>
        <v>7.5545633127761469E-2</v>
      </c>
      <c r="K62" s="26">
        <f>IFERROR(CapTable!K112,0)</f>
        <v>6.8677848297964986E-2</v>
      </c>
      <c r="L62" s="31"/>
      <c r="M62" s="7"/>
    </row>
    <row r="63" spans="2:13" outlineLevel="1">
      <c r="C63" s="6" t="str">
        <f>CapTable!J26&amp;" Investor"</f>
        <v>Series B Investor</v>
      </c>
      <c r="D63" s="6"/>
      <c r="E63" s="6" t="s">
        <v>49</v>
      </c>
      <c r="F63" s="26">
        <f>IFERROR(CapTable!F114,0)</f>
        <v>0</v>
      </c>
      <c r="G63" s="26">
        <f>IFERROR(CapTable!G114,0)</f>
        <v>0</v>
      </c>
      <c r="H63" s="26">
        <f>IFERROR(CapTable!H114,0)</f>
        <v>0</v>
      </c>
      <c r="I63" s="26">
        <f>IFERROR(CapTable!I114,0)</f>
        <v>0</v>
      </c>
      <c r="J63" s="26">
        <f>IFERROR(CapTable!J114,0)</f>
        <v>0.11111111111111112</v>
      </c>
      <c r="K63" s="26">
        <f>IFERROR(CapTable!K114,0)</f>
        <v>0.10101010101010102</v>
      </c>
      <c r="L63" s="31"/>
      <c r="M63" s="7"/>
    </row>
    <row r="64" spans="2:13" outlineLevel="1">
      <c r="C64" s="6" t="str">
        <f>CapTable!K26&amp;" Investor"</f>
        <v>Series C Investor</v>
      </c>
      <c r="D64" s="6"/>
      <c r="E64" s="6" t="s">
        <v>49</v>
      </c>
      <c r="F64" s="26">
        <f>IFERROR(CapTable!F116,0)</f>
        <v>0</v>
      </c>
      <c r="G64" s="26">
        <f>IFERROR(CapTable!G116,0)</f>
        <v>0</v>
      </c>
      <c r="H64" s="26">
        <f>IFERROR(CapTable!H116,0)</f>
        <v>0</v>
      </c>
      <c r="I64" s="26">
        <f>IFERROR(CapTable!I116,0)</f>
        <v>0</v>
      </c>
      <c r="J64" s="26">
        <f>IFERROR(CapTable!J116,0)</f>
        <v>0</v>
      </c>
      <c r="K64" s="26">
        <f>IFERROR(CapTable!K116,0)</f>
        <v>9.0909090909090912E-2</v>
      </c>
      <c r="L64" s="31"/>
      <c r="M64" s="7"/>
    </row>
    <row r="65" spans="2:13" outlineLevel="1">
      <c r="C65" s="8" t="s">
        <v>75</v>
      </c>
      <c r="D65" s="8"/>
      <c r="E65" s="6" t="s">
        <v>49</v>
      </c>
      <c r="F65" s="26">
        <f>IFERROR(SUM(CapTable!F107,CapTable!F109,CapTable!F111,CapTable!F113,CapTable!F115+F117),0)</f>
        <v>0.1</v>
      </c>
      <c r="G65" s="26">
        <f>IFERROR(SUM(CapTable!G107,CapTable!G109,CapTable!G111,CapTable!G113,CapTable!G115+G117),0)</f>
        <v>0.1</v>
      </c>
      <c r="H65" s="26">
        <f>IFERROR(SUM(CapTable!H107,CapTable!H109,CapTable!H111,CapTable!H113,CapTable!H115+H117),0)</f>
        <v>0.1000089999100009</v>
      </c>
      <c r="I65" s="26">
        <f>IFERROR(SUM(CapTable!I107,CapTable!I109,CapTable!I111,CapTable!I113,CapTable!I115+I117),0)</f>
        <v>8.4996486187596657E-2</v>
      </c>
      <c r="J65" s="26">
        <f>IFERROR(SUM(CapTable!J107,CapTable!J109,CapTable!J111,CapTable!J113,CapTable!J115+J117),0)</f>
        <v>7.5552432166752587E-2</v>
      </c>
      <c r="K65" s="26">
        <f>IFERROR(SUM(CapTable!K107,CapTable!K109,CapTable!K111,CapTable!K113,CapTable!K115+K117),0)</f>
        <v>6.8684029242502345E-2</v>
      </c>
      <c r="L65" s="31"/>
      <c r="M65" s="7"/>
    </row>
    <row r="66" spans="2:13" ht="15" outlineLevel="1">
      <c r="C66" s="27" t="s">
        <v>32</v>
      </c>
      <c r="D66" s="27"/>
      <c r="E66" s="27" t="s">
        <v>49</v>
      </c>
      <c r="F66" s="28">
        <f t="shared" ref="F66:K66" si="6">SUM(F59:F65)</f>
        <v>1</v>
      </c>
      <c r="G66" s="28">
        <f t="shared" si="6"/>
        <v>1</v>
      </c>
      <c r="H66" s="28">
        <f t="shared" si="6"/>
        <v>1</v>
      </c>
      <c r="I66" s="28">
        <f t="shared" si="6"/>
        <v>1</v>
      </c>
      <c r="J66" s="28">
        <f t="shared" si="6"/>
        <v>1.0000000000000002</v>
      </c>
      <c r="K66" s="28">
        <f t="shared" si="6"/>
        <v>1</v>
      </c>
      <c r="L66" s="31"/>
      <c r="M66" s="7"/>
    </row>
    <row r="67" spans="2:13">
      <c r="L67" s="31"/>
      <c r="M67" s="7"/>
    </row>
    <row r="68" spans="2:13" ht="15">
      <c r="B68" s="65" t="s">
        <v>37</v>
      </c>
      <c r="C68" s="61"/>
      <c r="D68" s="62"/>
      <c r="E68" s="62" t="s">
        <v>56</v>
      </c>
      <c r="F68" s="66" t="s">
        <v>1</v>
      </c>
      <c r="G68" s="66" t="s">
        <v>2</v>
      </c>
      <c r="H68" s="66" t="s">
        <v>3</v>
      </c>
      <c r="I68" s="66" t="s">
        <v>4</v>
      </c>
      <c r="J68" s="66" t="s">
        <v>5</v>
      </c>
      <c r="K68" s="66" t="s">
        <v>35</v>
      </c>
      <c r="L68" s="31"/>
      <c r="M68" s="5"/>
    </row>
    <row r="69" spans="2:13" outlineLevel="1">
      <c r="C69" s="6" t="s">
        <v>31</v>
      </c>
      <c r="D69" s="6"/>
      <c r="E69" s="6" t="s">
        <v>50</v>
      </c>
      <c r="F69" s="29">
        <f>IFERROR(F35/$F$8,0)</f>
        <v>1</v>
      </c>
      <c r="G69" s="29">
        <f>IFERROR(G77/$F$8,0)</f>
        <v>139.5</v>
      </c>
      <c r="H69" s="29">
        <f>IFERROR(H77/$F$8,0)</f>
        <v>494.99505004949953</v>
      </c>
      <c r="I69" s="29">
        <f>IFERROR(I77/$F$8,0)</f>
        <v>841.38107514969204</v>
      </c>
      <c r="J69" s="29">
        <f>IFERROR(J77/$F$8,0)</f>
        <v>3059.5675459988797</v>
      </c>
      <c r="K69" s="29">
        <f>IFERROR(K77/$F$8,0)</f>
        <v>33995.194955543106</v>
      </c>
      <c r="L69" s="31"/>
      <c r="M69" s="7"/>
    </row>
    <row r="70" spans="2:13" outlineLevel="1">
      <c r="C70" s="6" t="str">
        <f>CapTable!$G$26&amp;" Investor"</f>
        <v>Angel Investor</v>
      </c>
      <c r="D70" s="6"/>
      <c r="E70" s="6" t="s">
        <v>50</v>
      </c>
      <c r="F70" s="30"/>
      <c r="G70" s="29">
        <f>IFERROR(G$29/G$29,0)</f>
        <v>1</v>
      </c>
      <c r="H70" s="29">
        <f>IFERROR(H$78/$G29,0)</f>
        <v>0</v>
      </c>
      <c r="I70" s="29">
        <f>IFERROR(I$78/$G29,0)</f>
        <v>2.0567504289962542</v>
      </c>
      <c r="J70" s="29">
        <f>IFERROR(J$78/$G29,0)</f>
        <v>7.4790924690772886</v>
      </c>
      <c r="K70" s="29">
        <f>IFERROR(K$78/$G29,0)</f>
        <v>83.10102743419209</v>
      </c>
      <c r="L70" s="31"/>
      <c r="M70" s="7"/>
    </row>
    <row r="71" spans="2:13" outlineLevel="1">
      <c r="C71" s="6" t="str">
        <f>CapTable!$H$26&amp;" Investor"</f>
        <v>Seed Investor</v>
      </c>
      <c r="D71" s="6"/>
      <c r="E71" s="6" t="s">
        <v>50</v>
      </c>
      <c r="F71" s="30"/>
      <c r="G71" s="30"/>
      <c r="H71" s="29">
        <f>IFERROR(H$29/$H$29,0)</f>
        <v>1</v>
      </c>
      <c r="I71" s="29">
        <f>IFERROR(I$79/$H$29,0)</f>
        <v>1.2270263380673134</v>
      </c>
      <c r="J71" s="29">
        <f>IFERROR(J$79/$H$29,0)</f>
        <v>4.4619139566084121</v>
      </c>
      <c r="K71" s="29">
        <f>IFERROR(K$79/$H$29,0)</f>
        <v>49.576821740093472</v>
      </c>
      <c r="L71" s="31"/>
      <c r="M71" s="7"/>
    </row>
    <row r="72" spans="2:13" outlineLevel="1">
      <c r="C72" s="6" t="str">
        <f>CapTable!$I$26&amp;" Investor"</f>
        <v>Series A Investor</v>
      </c>
      <c r="D72" s="6"/>
      <c r="E72" s="6" t="s">
        <v>50</v>
      </c>
      <c r="F72" s="30"/>
      <c r="G72" s="30"/>
      <c r="H72" s="30"/>
      <c r="I72" s="29">
        <f>IFERROR(I$29/$I$29,0)</f>
        <v>1</v>
      </c>
      <c r="J72" s="29">
        <f>IFERROR(J$80/$I$29,0)</f>
        <v>3.3995534907492662</v>
      </c>
      <c r="K72" s="29">
        <f>IFERROR(K$80/$I$29,0)</f>
        <v>37.772816563880738</v>
      </c>
      <c r="L72" s="31"/>
      <c r="M72" s="31"/>
    </row>
    <row r="73" spans="2:13" outlineLevel="1">
      <c r="C73" s="6" t="str">
        <f>CapTable!$J$26&amp;" Investor"</f>
        <v>Series B Investor</v>
      </c>
      <c r="D73" s="6"/>
      <c r="E73" s="6" t="s">
        <v>50</v>
      </c>
      <c r="F73" s="30"/>
      <c r="G73" s="30"/>
      <c r="H73" s="30"/>
      <c r="I73" s="30"/>
      <c r="J73" s="29">
        <f>IFERROR(J$29/$J$29,0)</f>
        <v>1</v>
      </c>
      <c r="K73" s="29">
        <f>IFERROR(K$81/$J$29,0)</f>
        <v>11.111111111111112</v>
      </c>
      <c r="M73" s="31"/>
    </row>
    <row r="74" spans="2:13" outlineLevel="1">
      <c r="C74" s="6" t="str">
        <f>CapTable!$K$26&amp;" Investor"</f>
        <v>Series C Investor</v>
      </c>
      <c r="D74" s="6"/>
      <c r="E74" s="6" t="s">
        <v>50</v>
      </c>
      <c r="F74" s="30"/>
      <c r="G74" s="30"/>
      <c r="H74" s="30"/>
      <c r="I74" s="30"/>
      <c r="J74" s="30"/>
      <c r="K74" s="29">
        <f>IFERROR(K$29/$K$29,0)</f>
        <v>1</v>
      </c>
      <c r="M74" s="31"/>
    </row>
    <row r="75" spans="2:13">
      <c r="C75" s="6"/>
      <c r="D75" s="6"/>
      <c r="E75" s="6"/>
      <c r="M75" s="31"/>
    </row>
    <row r="76" spans="2:13" ht="15">
      <c r="B76" s="65" t="s">
        <v>38</v>
      </c>
      <c r="C76" s="61"/>
      <c r="D76" s="62"/>
      <c r="E76" s="62" t="s">
        <v>56</v>
      </c>
      <c r="F76" s="66" t="s">
        <v>1</v>
      </c>
      <c r="G76" s="66" t="s">
        <v>2</v>
      </c>
      <c r="H76" s="66" t="s">
        <v>3</v>
      </c>
      <c r="I76" s="66" t="s">
        <v>4</v>
      </c>
      <c r="J76" s="66" t="s">
        <v>5</v>
      </c>
      <c r="K76" s="66" t="s">
        <v>35</v>
      </c>
      <c r="L76" s="31"/>
      <c r="M76" s="5"/>
    </row>
    <row r="77" spans="2:13" outlineLevel="1">
      <c r="C77" s="6" t="s">
        <v>31</v>
      </c>
      <c r="D77" s="6"/>
      <c r="E77" s="6" t="s">
        <v>46</v>
      </c>
      <c r="F77" s="32">
        <f t="shared" ref="F77:K83" si="7">F59*F$35</f>
        <v>9000</v>
      </c>
      <c r="G77" s="32">
        <f t="shared" si="7"/>
        <v>1395000</v>
      </c>
      <c r="H77" s="32">
        <f t="shared" si="7"/>
        <v>4949950.5004949952</v>
      </c>
      <c r="I77" s="32">
        <f t="shared" si="7"/>
        <v>8413810.7514969204</v>
      </c>
      <c r="J77" s="32">
        <f t="shared" si="7"/>
        <v>30595675.459988795</v>
      </c>
      <c r="K77" s="32">
        <f t="shared" si="7"/>
        <v>339951949.55543107</v>
      </c>
      <c r="L77" s="31"/>
      <c r="M77" s="7"/>
    </row>
    <row r="78" spans="2:13" outlineLevel="1">
      <c r="C78" s="6" t="s">
        <v>39</v>
      </c>
      <c r="D78" s="6"/>
      <c r="E78" s="6" t="s">
        <v>46</v>
      </c>
      <c r="F78" s="32">
        <f t="shared" si="7"/>
        <v>0</v>
      </c>
      <c r="G78" s="32">
        <f t="shared" si="7"/>
        <v>0</v>
      </c>
      <c r="H78" s="32">
        <f t="shared" si="7"/>
        <v>0</v>
      </c>
      <c r="I78" s="32">
        <f t="shared" si="7"/>
        <v>102837.5214498127</v>
      </c>
      <c r="J78" s="32">
        <f t="shared" si="7"/>
        <v>373954.62345386442</v>
      </c>
      <c r="K78" s="32">
        <f t="shared" si="7"/>
        <v>4155051.3717096047</v>
      </c>
      <c r="M78" s="31"/>
    </row>
    <row r="79" spans="2:13" outlineLevel="1">
      <c r="C79" s="6" t="s">
        <v>40</v>
      </c>
      <c r="D79" s="6"/>
      <c r="E79" s="6" t="s">
        <v>46</v>
      </c>
      <c r="F79" s="32">
        <f t="shared" si="7"/>
        <v>0</v>
      </c>
      <c r="G79" s="32">
        <f t="shared" si="7"/>
        <v>0</v>
      </c>
      <c r="H79" s="32">
        <f>H61*H$35</f>
        <v>0</v>
      </c>
      <c r="I79" s="32">
        <f t="shared" si="7"/>
        <v>613513.16903365671</v>
      </c>
      <c r="J79" s="32">
        <f t="shared" si="7"/>
        <v>2230956.9783042059</v>
      </c>
      <c r="K79" s="32">
        <f t="shared" si="7"/>
        <v>24788410.870046735</v>
      </c>
      <c r="M79" s="31"/>
    </row>
    <row r="80" spans="2:13" outlineLevel="1">
      <c r="C80" s="6" t="s">
        <v>41</v>
      </c>
      <c r="D80" s="6"/>
      <c r="E80" s="6" t="s">
        <v>46</v>
      </c>
      <c r="F80" s="32">
        <f t="shared" si="7"/>
        <v>0</v>
      </c>
      <c r="G80" s="32">
        <f t="shared" si="7"/>
        <v>0</v>
      </c>
      <c r="H80" s="32">
        <f t="shared" si="7"/>
        <v>0</v>
      </c>
      <c r="I80" s="32">
        <f t="shared" si="7"/>
        <v>934877.20995604829</v>
      </c>
      <c r="J80" s="32">
        <f t="shared" si="7"/>
        <v>3399553.490749266</v>
      </c>
      <c r="K80" s="32">
        <f t="shared" si="7"/>
        <v>37772816.563880742</v>
      </c>
      <c r="M80" s="31"/>
    </row>
    <row r="81" spans="2:17" outlineLevel="1">
      <c r="C81" s="6" t="s">
        <v>42</v>
      </c>
      <c r="D81" s="6"/>
      <c r="E81" s="6" t="s">
        <v>46</v>
      </c>
      <c r="F81" s="32">
        <f t="shared" si="7"/>
        <v>0</v>
      </c>
      <c r="G81" s="32">
        <f t="shared" si="7"/>
        <v>0</v>
      </c>
      <c r="H81" s="32">
        <f t="shared" si="7"/>
        <v>0</v>
      </c>
      <c r="I81" s="32">
        <f t="shared" si="7"/>
        <v>0</v>
      </c>
      <c r="J81" s="32">
        <f t="shared" si="7"/>
        <v>5000000</v>
      </c>
      <c r="K81" s="32">
        <f t="shared" si="7"/>
        <v>55555555.55555556</v>
      </c>
      <c r="M81" s="31"/>
    </row>
    <row r="82" spans="2:17" outlineLevel="1">
      <c r="C82" s="6" t="s">
        <v>43</v>
      </c>
      <c r="D82" s="6"/>
      <c r="E82" s="6" t="s">
        <v>46</v>
      </c>
      <c r="F82" s="32">
        <f t="shared" si="7"/>
        <v>0</v>
      </c>
      <c r="G82" s="32">
        <f t="shared" si="7"/>
        <v>0</v>
      </c>
      <c r="H82" s="32">
        <f t="shared" si="7"/>
        <v>0</v>
      </c>
      <c r="I82" s="32">
        <f t="shared" si="7"/>
        <v>0</v>
      </c>
      <c r="J82" s="32">
        <f t="shared" si="7"/>
        <v>0</v>
      </c>
      <c r="K82" s="32">
        <f t="shared" si="7"/>
        <v>50000000</v>
      </c>
      <c r="M82" s="31"/>
    </row>
    <row r="83" spans="2:17" outlineLevel="1">
      <c r="C83" s="6" t="s">
        <v>76</v>
      </c>
      <c r="D83" s="6"/>
      <c r="E83" s="6" t="s">
        <v>46</v>
      </c>
      <c r="F83" s="32">
        <f t="shared" si="7"/>
        <v>1000</v>
      </c>
      <c r="G83" s="32">
        <f t="shared" si="7"/>
        <v>155000</v>
      </c>
      <c r="H83" s="32">
        <f t="shared" si="7"/>
        <v>550049.49950500496</v>
      </c>
      <c r="I83" s="32">
        <f t="shared" si="7"/>
        <v>934961.34806356323</v>
      </c>
      <c r="J83" s="32">
        <f t="shared" si="7"/>
        <v>3399859.4475038666</v>
      </c>
      <c r="K83" s="32">
        <f t="shared" si="7"/>
        <v>37776216.083376288</v>
      </c>
      <c r="M83" s="31"/>
    </row>
    <row r="84" spans="2:17" ht="15" outlineLevel="1">
      <c r="C84" s="27" t="s">
        <v>32</v>
      </c>
      <c r="D84" s="27"/>
      <c r="E84" s="27" t="s">
        <v>46</v>
      </c>
      <c r="F84" s="33">
        <f t="shared" ref="F84:K84" si="8">SUM(F77:F83)</f>
        <v>10000</v>
      </c>
      <c r="G84" s="33">
        <f t="shared" si="8"/>
        <v>1550000</v>
      </c>
      <c r="H84" s="33">
        <f t="shared" si="8"/>
        <v>5500000</v>
      </c>
      <c r="I84" s="33">
        <f t="shared" si="8"/>
        <v>11000000.000000002</v>
      </c>
      <c r="J84" s="33">
        <f t="shared" si="8"/>
        <v>45000000</v>
      </c>
      <c r="K84" s="33">
        <f t="shared" si="8"/>
        <v>550000000</v>
      </c>
      <c r="L84" s="34"/>
      <c r="M84" s="34"/>
      <c r="N84" s="34"/>
      <c r="O84" s="34"/>
      <c r="P84" s="34"/>
      <c r="Q84" s="34"/>
    </row>
    <row r="85" spans="2:17">
      <c r="M85" s="31"/>
    </row>
    <row r="86" spans="2:17" ht="15">
      <c r="B86" s="62" t="s">
        <v>0</v>
      </c>
      <c r="C86" s="61"/>
      <c r="D86" s="62"/>
      <c r="E86" s="62" t="s">
        <v>56</v>
      </c>
      <c r="F86" s="66" t="s">
        <v>1</v>
      </c>
      <c r="G86" s="66" t="s">
        <v>2</v>
      </c>
      <c r="H86" s="66" t="s">
        <v>3</v>
      </c>
      <c r="I86" s="66" t="s">
        <v>4</v>
      </c>
      <c r="J86" s="66" t="s">
        <v>5</v>
      </c>
      <c r="K86" s="66" t="s">
        <v>35</v>
      </c>
      <c r="L86" s="31"/>
      <c r="M86" s="5"/>
    </row>
    <row r="87" spans="2:17" outlineLevel="1">
      <c r="C87" s="2" t="str">
        <f>C4</f>
        <v>Michael Davidson</v>
      </c>
      <c r="E87" s="2" t="s">
        <v>45</v>
      </c>
      <c r="F87" s="2">
        <f>F16</f>
        <v>54000000</v>
      </c>
      <c r="G87" s="2">
        <f>F16</f>
        <v>54000000</v>
      </c>
      <c r="H87" s="2">
        <f t="shared" ref="H87:K90" si="9">G87</f>
        <v>54000000</v>
      </c>
      <c r="I87" s="2">
        <f t="shared" si="9"/>
        <v>54000000</v>
      </c>
      <c r="J87" s="2">
        <f t="shared" si="9"/>
        <v>54000000</v>
      </c>
      <c r="K87" s="2">
        <f t="shared" si="9"/>
        <v>54000000</v>
      </c>
      <c r="L87" s="31"/>
      <c r="M87" s="7"/>
    </row>
    <row r="88" spans="2:17" outlineLevel="1">
      <c r="C88" s="2" t="str">
        <f>C5</f>
        <v>Daniel Cole</v>
      </c>
      <c r="E88" s="2" t="s">
        <v>45</v>
      </c>
      <c r="F88" s="2">
        <f>F17</f>
        <v>22500000</v>
      </c>
      <c r="G88" s="2">
        <f>F17</f>
        <v>22500000</v>
      </c>
      <c r="H88" s="2">
        <f t="shared" si="9"/>
        <v>22500000</v>
      </c>
      <c r="I88" s="2">
        <f t="shared" si="9"/>
        <v>22500000</v>
      </c>
      <c r="J88" s="2">
        <f t="shared" si="9"/>
        <v>22500000</v>
      </c>
      <c r="K88" s="2">
        <f t="shared" si="9"/>
        <v>22500000</v>
      </c>
      <c r="L88" s="31"/>
      <c r="M88" s="7"/>
    </row>
    <row r="89" spans="2:17" outlineLevel="1">
      <c r="C89" s="2" t="str">
        <f>C6</f>
        <v>David Koffi</v>
      </c>
      <c r="E89" s="2" t="s">
        <v>45</v>
      </c>
      <c r="F89" s="2">
        <f>F18</f>
        <v>13500000</v>
      </c>
      <c r="G89" s="2">
        <f>F18</f>
        <v>13500000</v>
      </c>
      <c r="H89" s="2">
        <f t="shared" ref="H89" si="10">G89</f>
        <v>13500000</v>
      </c>
      <c r="I89" s="2">
        <f t="shared" ref="I89" si="11">H89</f>
        <v>13500000</v>
      </c>
      <c r="J89" s="2">
        <f t="shared" ref="J89" si="12">I89</f>
        <v>13500000</v>
      </c>
      <c r="K89" s="2">
        <f t="shared" ref="K89" si="13">J89</f>
        <v>13500000</v>
      </c>
      <c r="L89" s="31"/>
      <c r="M89" s="31"/>
    </row>
    <row r="90" spans="2:17" outlineLevel="1">
      <c r="C90" s="2" t="str">
        <f>C19</f>
        <v>ESOP</v>
      </c>
      <c r="E90" s="2" t="s">
        <v>45</v>
      </c>
      <c r="F90" s="2">
        <f>F19</f>
        <v>10000000</v>
      </c>
      <c r="G90" s="2">
        <f>F19</f>
        <v>10000000</v>
      </c>
      <c r="H90" s="2">
        <f t="shared" si="9"/>
        <v>10000000</v>
      </c>
      <c r="I90" s="2">
        <f t="shared" si="9"/>
        <v>10000000</v>
      </c>
      <c r="J90" s="2">
        <f t="shared" si="9"/>
        <v>10000000</v>
      </c>
      <c r="K90" s="2">
        <f t="shared" si="9"/>
        <v>10000000</v>
      </c>
      <c r="M90" s="31"/>
    </row>
    <row r="91" spans="2:17" outlineLevel="1">
      <c r="C91" s="2" t="str">
        <f>G$26&amp;" Investors"</f>
        <v>Angel Investors</v>
      </c>
      <c r="E91" s="2" t="s">
        <v>45</v>
      </c>
      <c r="F91" s="30"/>
      <c r="G91" s="8">
        <f>IFERROR(IF(AND(G123=1,G$121=1),((F$101+G$92)/G$34)*G$29,IF(AND(G$121=1,F$121=0),((F$101+G94+G96)/G$141)*G$142,F91)),0)</f>
        <v>0</v>
      </c>
      <c r="H91" s="8">
        <f>IFERROR(IF(AND(H123=1,H$121=1),((G$101+H$92)/H$34)*H$29,IF(AND(H$121=1,G$121=0),((G$101+H94+H96)/H$141)*H$142,G91)),0)</f>
        <v>0</v>
      </c>
      <c r="I91" s="8">
        <f>IFERROR(IF(AND(I123=1,I$121=1),((H$101+I$92)/I$34)*I$29,IF(AND(I$121=1,H$121=0),((H$101+I94+I96)/I$141)*I$142,H91)),0)</f>
        <v>1100022</v>
      </c>
      <c r="J91" s="8">
        <f>IFERROR(IF(AND(J123=1,J$121=1),((I$101+J$92)/J$34)*J$29,IF(AND(J$121=1,I$121=0),((I$101+J94+J96)/J$141)*J$142,I91)),0)</f>
        <v>1100022</v>
      </c>
      <c r="K91" s="8">
        <f>IFERROR(IF(AND(K123=1,K$121=1),((J$101+K$92)/K$34)*K$29,IF(AND(K$121=1,J$121=0),((J$101+K94+K96)/K$141)*K$142,J91)),0)</f>
        <v>1100022</v>
      </c>
      <c r="M91" s="31"/>
    </row>
    <row r="92" spans="2:17" outlineLevel="1">
      <c r="C92" s="2" t="str">
        <f>G$26&amp;" ESOP"</f>
        <v>Angel ESOP</v>
      </c>
      <c r="E92" s="2" t="s">
        <v>45</v>
      </c>
      <c r="F92" s="30"/>
      <c r="G92" s="2">
        <f>G$30</f>
        <v>0</v>
      </c>
      <c r="H92" s="2">
        <f>G92</f>
        <v>0</v>
      </c>
      <c r="I92" s="2">
        <f>H92</f>
        <v>0</v>
      </c>
      <c r="J92" s="2">
        <f>I92</f>
        <v>0</v>
      </c>
      <c r="K92" s="2">
        <f>J92</f>
        <v>0</v>
      </c>
      <c r="M92" s="31"/>
    </row>
    <row r="93" spans="2:17" ht="15" outlineLevel="1">
      <c r="C93" s="2" t="str">
        <f>H$26&amp;" Investors"</f>
        <v>Seed Investors</v>
      </c>
      <c r="E93" s="2" t="s">
        <v>45</v>
      </c>
      <c r="F93" s="30"/>
      <c r="G93" s="35"/>
      <c r="H93" s="8">
        <f>IFERROR(IF(AND(H124=1,H$121=1),((G$101+H$94)/H$34)*H$29,IF(AND(H$121=1,G$121=0),((G$101+H96+H98)/H$155)*H$156,G93)),G93)</f>
        <v>0</v>
      </c>
      <c r="I93" s="8">
        <f>IFERROR(IF(AND(I124=1,I$121=1),((H$101+I$94)/I$34)*I$29,IF(AND(I$121=1,H$121=0),((H$101+I96+I98)/I$155)*I$156,H93)),H93)</f>
        <v>6562565.625</v>
      </c>
      <c r="J93" s="8">
        <f>IFERROR(IF(AND(J124=1,J$121=1),((I$101+J$94)/J$34)*J$29,IF(AND(J$121=1,I$121=0),((I$101+J96+J98)/J$155)*J$156,I93)),I93)</f>
        <v>6562565.625</v>
      </c>
      <c r="K93" s="8">
        <f>IFERROR(IF(AND(K124=1,K$121=1),((J$101+K$94)/K$34)*K$29,IF(AND(K$121=1,J$121=0),((J$101+K96+K98)/K$155)*K$156,J93)),J93)</f>
        <v>6562565.625</v>
      </c>
      <c r="M93" s="31"/>
    </row>
    <row r="94" spans="2:17" ht="15" outlineLevel="1">
      <c r="C94" s="2" t="str">
        <f>H$26&amp;" ESOP"</f>
        <v>Seed ESOP</v>
      </c>
      <c r="E94" s="2" t="s">
        <v>45</v>
      </c>
      <c r="F94" s="35"/>
      <c r="G94" s="35"/>
      <c r="H94" s="2">
        <f>H$30</f>
        <v>1000</v>
      </c>
      <c r="I94" s="2">
        <f>H94</f>
        <v>1000</v>
      </c>
      <c r="J94" s="2">
        <f>I94</f>
        <v>1000</v>
      </c>
      <c r="K94" s="2">
        <f>J94</f>
        <v>1000</v>
      </c>
      <c r="M94" s="31"/>
    </row>
    <row r="95" spans="2:17" ht="15" outlineLevel="1">
      <c r="C95" s="2" t="str">
        <f>I$26&amp;" Investors"</f>
        <v>Series A Investors</v>
      </c>
      <c r="E95" s="2" t="s">
        <v>45</v>
      </c>
      <c r="F95" s="30"/>
      <c r="G95" s="35"/>
      <c r="H95" s="35"/>
      <c r="I95" s="8">
        <f>IFERROR(IF(AND(I125=1,I$121=1),((H$101+I$96)/I$34)*I$29,IF(AND(I$121=1,H$121=0),((H$101+I98+I100)/I$169)*I$170,H95)),H95)</f>
        <v>10000100</v>
      </c>
      <c r="J95" s="8">
        <f>IFERROR(IF(AND(J125=1,J$121=1),((I$101+J$96)/J$34)*J$29,IF(AND(J$121=1,I$121=0),((I$101+J98+J100)/J$169)*J$170,I95)),I95)</f>
        <v>10000100</v>
      </c>
      <c r="K95" s="8">
        <f>IFERROR(IF(AND(K125=1,K$121=1),((J$101+K$96)/K$34)*K$29,IF(AND(K$121=1,J$121=0),((J$101+K98+K100)/K$169)*K$170,J95)),J95)</f>
        <v>10000100</v>
      </c>
      <c r="M95" s="31"/>
    </row>
    <row r="96" spans="2:17" ht="15" outlineLevel="1">
      <c r="C96" s="2" t="str">
        <f>I$26&amp;" ESOP"</f>
        <v>Series A ESOP</v>
      </c>
      <c r="E96" s="2" t="s">
        <v>45</v>
      </c>
      <c r="F96" s="30"/>
      <c r="G96" s="35"/>
      <c r="H96" s="35"/>
      <c r="I96" s="2">
        <f>I30</f>
        <v>0</v>
      </c>
      <c r="J96" s="2">
        <f>I96</f>
        <v>0</v>
      </c>
      <c r="K96" s="2">
        <f>J96</f>
        <v>0</v>
      </c>
      <c r="M96" s="31"/>
    </row>
    <row r="97" spans="2:15" ht="15" outlineLevel="1">
      <c r="C97" s="2" t="str">
        <f>J$26&amp;" Investors"</f>
        <v>Series B Investors</v>
      </c>
      <c r="E97" s="2" t="s">
        <v>45</v>
      </c>
      <c r="F97" s="30"/>
      <c r="G97" s="35"/>
      <c r="H97" s="35"/>
      <c r="I97" s="35"/>
      <c r="J97" s="8">
        <f>IFERROR(IF(AND(J126=1,J$121=1),((I$101+J$98)/J$34)*J$29,IF(AND(J$121=1,I$121=0),((I$101+#REF!+#REF!)/J$183)*J$184,I97)),I97)</f>
        <v>14707960.953125002</v>
      </c>
      <c r="K97" s="8">
        <f>IFERROR(IF(AND(K126=1,K$121=1),((J$101+K$98)/K$34)*K$29,IF(AND(K$121=1,J$121=0),((J$101+K$100)/K$183)*K$184,J97)),J97)</f>
        <v>14707960.953125002</v>
      </c>
      <c r="M97" s="31"/>
    </row>
    <row r="98" spans="2:15" ht="15" outlineLevel="1">
      <c r="C98" s="2" t="str">
        <f>J$26&amp;" ESOP"</f>
        <v>Series B ESOP</v>
      </c>
      <c r="E98" s="2" t="s">
        <v>45</v>
      </c>
      <c r="F98" s="30"/>
      <c r="G98" s="35"/>
      <c r="H98" s="35"/>
      <c r="I98" s="35"/>
      <c r="J98" s="2">
        <f>J30</f>
        <v>0</v>
      </c>
      <c r="K98" s="2">
        <f>K30</f>
        <v>0</v>
      </c>
      <c r="M98" s="31"/>
      <c r="O98" s="36"/>
    </row>
    <row r="99" spans="2:15" ht="15" outlineLevel="1">
      <c r="C99" s="2" t="str">
        <f>K$26&amp;" Investors"</f>
        <v>Series C Investors</v>
      </c>
      <c r="E99" s="2" t="s">
        <v>45</v>
      </c>
      <c r="F99" s="30"/>
      <c r="G99" s="35"/>
      <c r="H99" s="35"/>
      <c r="I99" s="35"/>
      <c r="J99" s="35"/>
      <c r="K99" s="8">
        <f>IFERROR(IF(AND(K127=1,K$121=1),((J$101+K$100)/K$34)*K$29,IF(AND(K$121=1,J$121=0),((J$101)/K$183)*K$184,J99)),J99)</f>
        <v>13237164.8578125</v>
      </c>
      <c r="L99" s="31"/>
      <c r="M99" s="31"/>
      <c r="O99" s="36"/>
    </row>
    <row r="100" spans="2:15" ht="15" outlineLevel="1">
      <c r="C100" s="2" t="str">
        <f>K$26&amp;" ESOP"</f>
        <v>Series C ESOP</v>
      </c>
      <c r="E100" s="2" t="s">
        <v>45</v>
      </c>
      <c r="F100" s="30"/>
      <c r="G100" s="35"/>
      <c r="H100" s="35"/>
      <c r="I100" s="35"/>
      <c r="J100" s="35"/>
      <c r="K100" s="2">
        <f>K30</f>
        <v>0</v>
      </c>
      <c r="L100" s="31"/>
      <c r="M100" s="31"/>
      <c r="N100" s="36"/>
      <c r="O100" s="36"/>
    </row>
    <row r="101" spans="2:15" ht="15" outlineLevel="1">
      <c r="C101" s="37" t="s">
        <v>13</v>
      </c>
      <c r="D101" s="37"/>
      <c r="E101" s="37" t="s">
        <v>45</v>
      </c>
      <c r="F101" s="37">
        <f t="shared" ref="F101:K101" si="14">SUM(F87:F100)</f>
        <v>100000000</v>
      </c>
      <c r="G101" s="37">
        <f t="shared" si="14"/>
        <v>100000000</v>
      </c>
      <c r="H101" s="37">
        <f t="shared" si="14"/>
        <v>100001000</v>
      </c>
      <c r="I101" s="37">
        <f t="shared" si="14"/>
        <v>117663687.625</v>
      </c>
      <c r="J101" s="37">
        <f t="shared" si="14"/>
        <v>132371648.578125</v>
      </c>
      <c r="K101" s="37">
        <f t="shared" si="14"/>
        <v>145608813.43593749</v>
      </c>
      <c r="L101" s="31"/>
      <c r="M101" s="31"/>
    </row>
    <row r="102" spans="2:15">
      <c r="H102" s="36"/>
      <c r="L102" s="31"/>
      <c r="M102" s="31"/>
    </row>
    <row r="103" spans="2:15" ht="15">
      <c r="B103" s="62" t="s">
        <v>34</v>
      </c>
      <c r="C103" s="61"/>
      <c r="D103" s="62"/>
      <c r="E103" s="62" t="s">
        <v>56</v>
      </c>
      <c r="F103" s="66" t="s">
        <v>1</v>
      </c>
      <c r="G103" s="66" t="s">
        <v>2</v>
      </c>
      <c r="H103" s="66" t="s">
        <v>3</v>
      </c>
      <c r="I103" s="66" t="s">
        <v>4</v>
      </c>
      <c r="J103" s="66" t="s">
        <v>5</v>
      </c>
      <c r="K103" s="66" t="s">
        <v>35</v>
      </c>
      <c r="L103" s="31"/>
      <c r="M103" s="5"/>
    </row>
    <row r="104" spans="2:15" outlineLevel="1">
      <c r="C104" s="2" t="str">
        <f>C4</f>
        <v>Michael Davidson</v>
      </c>
      <c r="E104" s="2" t="s">
        <v>49</v>
      </c>
      <c r="F104" s="21">
        <f>IFERROR(F87/F$101,0)</f>
        <v>0.54</v>
      </c>
      <c r="G104" s="21">
        <f>IFERROR(G87/G$101,0)</f>
        <v>0.54</v>
      </c>
      <c r="H104" s="21">
        <f t="shared" ref="H104:K104" si="15">IFERROR(H87/H$101,0)</f>
        <v>0.53999460005399946</v>
      </c>
      <c r="I104" s="21">
        <f t="shared" si="15"/>
        <v>0.45893513189983198</v>
      </c>
      <c r="J104" s="21">
        <f t="shared" si="15"/>
        <v>0.40794233946651731</v>
      </c>
      <c r="K104" s="21">
        <f t="shared" si="15"/>
        <v>0.37085667224228847</v>
      </c>
      <c r="L104" s="31"/>
      <c r="M104" s="7"/>
    </row>
    <row r="105" spans="2:15" outlineLevel="1">
      <c r="C105" s="2" t="str">
        <f>C5</f>
        <v>Daniel Cole</v>
      </c>
      <c r="E105" s="2" t="s">
        <v>49</v>
      </c>
      <c r="F105" s="21">
        <f t="shared" ref="F105:K105" si="16">IFERROR(F88/F$101,0)</f>
        <v>0.22500000000000001</v>
      </c>
      <c r="G105" s="21">
        <f t="shared" si="16"/>
        <v>0.22500000000000001</v>
      </c>
      <c r="H105" s="21">
        <f t="shared" si="16"/>
        <v>0.22499775002249978</v>
      </c>
      <c r="I105" s="21">
        <f t="shared" si="16"/>
        <v>0.19122297162492999</v>
      </c>
      <c r="J105" s="21">
        <f t="shared" si="16"/>
        <v>0.16997597477771553</v>
      </c>
      <c r="K105" s="21">
        <f t="shared" si="16"/>
        <v>0.15452361343428686</v>
      </c>
      <c r="L105" s="31"/>
      <c r="M105" s="7"/>
    </row>
    <row r="106" spans="2:15" outlineLevel="1">
      <c r="C106" s="2" t="str">
        <f>C6</f>
        <v>David Koffi</v>
      </c>
      <c r="E106" s="2" t="s">
        <v>49</v>
      </c>
      <c r="F106" s="21">
        <f t="shared" ref="F106:K106" si="17">IFERROR(F89/F$101,0)</f>
        <v>0.13500000000000001</v>
      </c>
      <c r="G106" s="21">
        <f t="shared" si="17"/>
        <v>0.13500000000000001</v>
      </c>
      <c r="H106" s="21">
        <f t="shared" si="17"/>
        <v>0.13499865001349987</v>
      </c>
      <c r="I106" s="21">
        <f t="shared" si="17"/>
        <v>0.114733782974958</v>
      </c>
      <c r="J106" s="21">
        <f t="shared" si="17"/>
        <v>0.10198558486662933</v>
      </c>
      <c r="K106" s="21">
        <f t="shared" si="17"/>
        <v>9.2714168060572116E-2</v>
      </c>
      <c r="M106" s="31"/>
    </row>
    <row r="107" spans="2:15" outlineLevel="1">
      <c r="C107" s="2" t="str">
        <f>C19</f>
        <v>ESOP</v>
      </c>
      <c r="E107" s="2" t="s">
        <v>49</v>
      </c>
      <c r="F107" s="21">
        <f t="shared" ref="F107:K107" si="18">IFERROR(F90/F$101,0)</f>
        <v>0.1</v>
      </c>
      <c r="G107" s="21">
        <f t="shared" si="18"/>
        <v>0.1</v>
      </c>
      <c r="H107" s="21">
        <f t="shared" si="18"/>
        <v>9.9999000009999894E-2</v>
      </c>
      <c r="I107" s="21">
        <f t="shared" si="18"/>
        <v>8.4987987388857766E-2</v>
      </c>
      <c r="J107" s="21">
        <f t="shared" si="18"/>
        <v>7.5544877678984684E-2</v>
      </c>
      <c r="K107" s="21">
        <f t="shared" si="18"/>
        <v>6.8677161526349714E-2</v>
      </c>
      <c r="M107" s="31"/>
    </row>
    <row r="108" spans="2:15" outlineLevel="1">
      <c r="C108" s="2" t="str">
        <f>G$26&amp;" Investors"</f>
        <v>Angel Investors</v>
      </c>
      <c r="E108" s="2" t="s">
        <v>49</v>
      </c>
      <c r="F108" s="30"/>
      <c r="G108" s="21">
        <f t="shared" ref="G108:K108" si="19">IFERROR(G91/G$101,0)</f>
        <v>0</v>
      </c>
      <c r="H108" s="21">
        <f>IFERROR(H91/H$101,0)</f>
        <v>0</v>
      </c>
      <c r="I108" s="21">
        <f t="shared" si="19"/>
        <v>9.3488655863466098E-3</v>
      </c>
      <c r="J108" s="21">
        <f t="shared" si="19"/>
        <v>8.3101027434192096E-3</v>
      </c>
      <c r="K108" s="21">
        <f t="shared" si="19"/>
        <v>7.5546388576538271E-3</v>
      </c>
      <c r="M108" s="31"/>
    </row>
    <row r="109" spans="2:15" outlineLevel="1">
      <c r="C109" s="2" t="str">
        <f>G$26&amp;" ESOP"</f>
        <v>Angel ESOP</v>
      </c>
      <c r="E109" s="2" t="s">
        <v>49</v>
      </c>
      <c r="F109" s="30"/>
      <c r="G109" s="21">
        <f>IFERROR(G92/G$101,0)</f>
        <v>0</v>
      </c>
      <c r="H109" s="21">
        <f t="shared" ref="H109:K109" si="20">IFERROR(H92/H$101,0)</f>
        <v>0</v>
      </c>
      <c r="I109" s="21">
        <f t="shared" si="20"/>
        <v>0</v>
      </c>
      <c r="J109" s="21">
        <f t="shared" si="20"/>
        <v>0</v>
      </c>
      <c r="K109" s="21">
        <f t="shared" si="20"/>
        <v>0</v>
      </c>
      <c r="M109" s="31"/>
    </row>
    <row r="110" spans="2:15" outlineLevel="1">
      <c r="C110" s="2" t="str">
        <f>H$26&amp;" Investors"</f>
        <v>Seed Investors</v>
      </c>
      <c r="E110" s="2" t="s">
        <v>49</v>
      </c>
      <c r="F110" s="30"/>
      <c r="G110" s="30"/>
      <c r="H110" s="21">
        <f t="shared" ref="H110:K110" si="21">IFERROR(H93/H$101,0)</f>
        <v>0</v>
      </c>
      <c r="I110" s="21">
        <f t="shared" si="21"/>
        <v>5.5773924457605151E-2</v>
      </c>
      <c r="J110" s="21">
        <f t="shared" si="21"/>
        <v>4.9576821740093466E-2</v>
      </c>
      <c r="K110" s="21">
        <f t="shared" si="21"/>
        <v>4.5069837945539516E-2</v>
      </c>
      <c r="M110" s="31"/>
    </row>
    <row r="111" spans="2:15" outlineLevel="1">
      <c r="C111" s="2" t="str">
        <f>H$26&amp;" ESOP"</f>
        <v>Seed ESOP</v>
      </c>
      <c r="E111" s="2" t="s">
        <v>49</v>
      </c>
      <c r="F111" s="30"/>
      <c r="G111" s="30"/>
      <c r="H111" s="21">
        <f t="shared" ref="H111:K111" si="22">IFERROR(H94/H$101,0)</f>
        <v>9.9999000009999908E-6</v>
      </c>
      <c r="I111" s="21">
        <f t="shared" si="22"/>
        <v>8.4987987388857764E-6</v>
      </c>
      <c r="J111" s="21">
        <f t="shared" si="22"/>
        <v>7.5544877678984686E-6</v>
      </c>
      <c r="K111" s="21">
        <f t="shared" si="22"/>
        <v>6.867716152634972E-6</v>
      </c>
      <c r="M111" s="31"/>
    </row>
    <row r="112" spans="2:15" outlineLevel="1">
      <c r="C112" s="2" t="str">
        <f>I$26&amp;" Investors"</f>
        <v>Series A Investors</v>
      </c>
      <c r="E112" s="2" t="s">
        <v>49</v>
      </c>
      <c r="F112" s="30"/>
      <c r="G112" s="30"/>
      <c r="H112" s="30"/>
      <c r="I112" s="21">
        <f t="shared" ref="I112:K112" si="23">IFERROR(I95/I$101,0)</f>
        <v>8.498883726873166E-2</v>
      </c>
      <c r="J112" s="21">
        <f t="shared" si="23"/>
        <v>7.5545633127761469E-2</v>
      </c>
      <c r="K112" s="21">
        <f t="shared" si="23"/>
        <v>6.8677848297964986E-2</v>
      </c>
      <c r="M112" s="31"/>
    </row>
    <row r="113" spans="1:13" outlineLevel="1">
      <c r="C113" s="2" t="str">
        <f>I$26&amp;" ESOP"</f>
        <v>Series A ESOP</v>
      </c>
      <c r="E113" s="2" t="s">
        <v>49</v>
      </c>
      <c r="F113" s="30"/>
      <c r="G113" s="30"/>
      <c r="H113" s="30"/>
      <c r="I113" s="21">
        <f t="shared" ref="I113:K113" si="24">IFERROR(I96/I$101,0)</f>
        <v>0</v>
      </c>
      <c r="J113" s="21">
        <f t="shared" si="24"/>
        <v>0</v>
      </c>
      <c r="K113" s="21">
        <f t="shared" si="24"/>
        <v>0</v>
      </c>
      <c r="M113" s="31"/>
    </row>
    <row r="114" spans="1:13" outlineLevel="1">
      <c r="C114" s="2" t="str">
        <f>J$26&amp;" Investors"</f>
        <v>Series B Investors</v>
      </c>
      <c r="E114" s="2" t="s">
        <v>49</v>
      </c>
      <c r="F114" s="30"/>
      <c r="G114" s="30"/>
      <c r="H114" s="30"/>
      <c r="I114" s="30"/>
      <c r="J114" s="21">
        <f t="shared" ref="J114:K114" si="25">IFERROR(J97/J$101,0)</f>
        <v>0.11111111111111112</v>
      </c>
      <c r="K114" s="21">
        <f t="shared" si="25"/>
        <v>0.10101010101010102</v>
      </c>
      <c r="M114" s="31"/>
    </row>
    <row r="115" spans="1:13" outlineLevel="1">
      <c r="C115" s="2" t="str">
        <f>J$26&amp;" ESOP"</f>
        <v>Series B ESOP</v>
      </c>
      <c r="E115" s="2" t="s">
        <v>49</v>
      </c>
      <c r="F115" s="30"/>
      <c r="G115" s="30"/>
      <c r="H115" s="30"/>
      <c r="I115" s="30"/>
      <c r="J115" s="21">
        <f t="shared" ref="J115:K115" si="26">IFERROR(J98/J$101,0)</f>
        <v>0</v>
      </c>
      <c r="K115" s="21">
        <f t="shared" si="26"/>
        <v>0</v>
      </c>
      <c r="M115" s="31"/>
    </row>
    <row r="116" spans="1:13" outlineLevel="1">
      <c r="C116" s="2" t="str">
        <f>K$26&amp;" Investors"</f>
        <v>Series C Investors</v>
      </c>
      <c r="E116" s="2" t="s">
        <v>49</v>
      </c>
      <c r="F116" s="30"/>
      <c r="G116" s="30"/>
      <c r="H116" s="30"/>
      <c r="I116" s="30"/>
      <c r="J116" s="30"/>
      <c r="K116" s="21">
        <f t="shared" ref="K116" si="27">IFERROR(K99/K$101,0)</f>
        <v>9.0909090909090912E-2</v>
      </c>
      <c r="M116" s="31"/>
    </row>
    <row r="117" spans="1:13" outlineLevel="1">
      <c r="C117" s="2" t="str">
        <f>K$26&amp;" ESOP"</f>
        <v>Series C ESOP</v>
      </c>
      <c r="E117" s="2" t="s">
        <v>49</v>
      </c>
      <c r="F117" s="30"/>
      <c r="G117" s="30"/>
      <c r="H117" s="30"/>
      <c r="I117" s="30"/>
      <c r="J117" s="30"/>
      <c r="K117" s="21">
        <f t="shared" ref="K117" si="28">IFERROR(K100/K$101,0)</f>
        <v>0</v>
      </c>
      <c r="M117" s="31"/>
    </row>
    <row r="118" spans="1:13" ht="15" outlineLevel="1">
      <c r="C118" s="37" t="s">
        <v>15</v>
      </c>
      <c r="D118" s="37"/>
      <c r="E118" s="37" t="s">
        <v>49</v>
      </c>
      <c r="F118" s="38">
        <f t="shared" ref="F118:K118" si="29">SUM(F104:F117)</f>
        <v>1</v>
      </c>
      <c r="G118" s="38">
        <f t="shared" si="29"/>
        <v>1</v>
      </c>
      <c r="H118" s="38">
        <f t="shared" si="29"/>
        <v>1</v>
      </c>
      <c r="I118" s="38">
        <f t="shared" si="29"/>
        <v>1</v>
      </c>
      <c r="J118" s="38">
        <f t="shared" si="29"/>
        <v>1</v>
      </c>
      <c r="K118" s="38">
        <f t="shared" si="29"/>
        <v>1</v>
      </c>
      <c r="M118" s="31"/>
    </row>
    <row r="119" spans="1:13">
      <c r="M119" s="31"/>
    </row>
    <row r="120" spans="1:13" ht="15">
      <c r="B120" s="62" t="s">
        <v>60</v>
      </c>
      <c r="C120" s="61"/>
      <c r="D120" s="62"/>
      <c r="E120" s="62" t="s">
        <v>56</v>
      </c>
      <c r="F120" s="66" t="s">
        <v>1</v>
      </c>
      <c r="G120" s="66" t="s">
        <v>2</v>
      </c>
      <c r="H120" s="66" t="s">
        <v>3</v>
      </c>
      <c r="I120" s="66" t="s">
        <v>4</v>
      </c>
      <c r="J120" s="66" t="s">
        <v>5</v>
      </c>
      <c r="K120" s="66" t="s">
        <v>35</v>
      </c>
      <c r="L120" s="31"/>
      <c r="M120" s="5"/>
    </row>
    <row r="121" spans="1:13" hidden="1" outlineLevel="1">
      <c r="C121" s="2" t="s">
        <v>51</v>
      </c>
      <c r="D121" s="2" t="s">
        <v>14</v>
      </c>
      <c r="E121" s="2" t="s">
        <v>47</v>
      </c>
      <c r="F121" s="2">
        <v>1</v>
      </c>
      <c r="G121" s="2">
        <f>IF(G$28=$D121,1,0)</f>
        <v>0</v>
      </c>
      <c r="H121" s="2">
        <f>IF(H$28=$D121,1,0)</f>
        <v>0</v>
      </c>
      <c r="I121" s="2">
        <f>IF(I$28=$D121,1,0)</f>
        <v>1</v>
      </c>
      <c r="J121" s="2">
        <f>IF(J$28=$D121,1,0)</f>
        <v>1</v>
      </c>
      <c r="K121" s="2">
        <f>IF(K$28=$D121,1,0)</f>
        <v>1</v>
      </c>
      <c r="L121" s="31"/>
      <c r="M121" s="7"/>
    </row>
    <row r="122" spans="1:13" ht="15" hidden="1" outlineLevel="1">
      <c r="A122" s="8"/>
      <c r="B122" s="39"/>
      <c r="C122" s="2" t="s">
        <v>59</v>
      </c>
      <c r="D122" s="2" t="s">
        <v>1</v>
      </c>
      <c r="E122" s="2" t="s">
        <v>47</v>
      </c>
      <c r="F122" s="2">
        <f t="shared" ref="F122:K127" si="30">IF($D122=F$26,1,0)</f>
        <v>1</v>
      </c>
      <c r="G122" s="2">
        <f t="shared" si="30"/>
        <v>0</v>
      </c>
      <c r="H122" s="2">
        <f t="shared" si="30"/>
        <v>0</v>
      </c>
      <c r="I122" s="2">
        <f t="shared" si="30"/>
        <v>0</v>
      </c>
      <c r="J122" s="2">
        <f t="shared" si="30"/>
        <v>0</v>
      </c>
      <c r="K122" s="2">
        <f t="shared" si="30"/>
        <v>0</v>
      </c>
      <c r="L122" s="6"/>
      <c r="M122" s="7"/>
    </row>
    <row r="123" spans="1:13" hidden="1" outlineLevel="1">
      <c r="C123" s="2" t="s">
        <v>52</v>
      </c>
      <c r="D123" s="2" t="str">
        <f>G26</f>
        <v>Angel</v>
      </c>
      <c r="E123" s="2" t="s">
        <v>47</v>
      </c>
      <c r="F123" s="2">
        <f t="shared" si="30"/>
        <v>0</v>
      </c>
      <c r="G123" s="2">
        <f t="shared" si="30"/>
        <v>1</v>
      </c>
      <c r="H123" s="2">
        <f t="shared" si="30"/>
        <v>0</v>
      </c>
      <c r="I123" s="2">
        <f t="shared" si="30"/>
        <v>0</v>
      </c>
      <c r="J123" s="2">
        <f t="shared" si="30"/>
        <v>0</v>
      </c>
      <c r="K123" s="2">
        <f t="shared" si="30"/>
        <v>0</v>
      </c>
      <c r="L123" s="31"/>
      <c r="M123" s="7"/>
    </row>
    <row r="124" spans="1:13" s="8" customFormat="1" hidden="1" outlineLevel="1">
      <c r="A124" s="2"/>
      <c r="B124" s="2"/>
      <c r="C124" s="2" t="s">
        <v>83</v>
      </c>
      <c r="D124" s="2" t="str">
        <f>H26</f>
        <v>Seed</v>
      </c>
      <c r="E124" s="2" t="s">
        <v>47</v>
      </c>
      <c r="F124" s="2">
        <f t="shared" si="30"/>
        <v>0</v>
      </c>
      <c r="G124" s="2">
        <f t="shared" si="30"/>
        <v>0</v>
      </c>
      <c r="H124" s="2">
        <f t="shared" si="30"/>
        <v>1</v>
      </c>
      <c r="I124" s="2">
        <f t="shared" si="30"/>
        <v>0</v>
      </c>
      <c r="J124" s="2">
        <f t="shared" si="30"/>
        <v>0</v>
      </c>
      <c r="K124" s="2">
        <f t="shared" si="30"/>
        <v>0</v>
      </c>
      <c r="L124" s="31"/>
      <c r="M124" s="14"/>
    </row>
    <row r="125" spans="1:13" hidden="1" outlineLevel="1">
      <c r="C125" s="2" t="s">
        <v>53</v>
      </c>
      <c r="D125" s="2" t="str">
        <f>I26</f>
        <v>Series A</v>
      </c>
      <c r="E125" s="2" t="s">
        <v>47</v>
      </c>
      <c r="F125" s="2">
        <f t="shared" si="30"/>
        <v>0</v>
      </c>
      <c r="G125" s="2">
        <f t="shared" si="30"/>
        <v>0</v>
      </c>
      <c r="H125" s="2">
        <f t="shared" si="30"/>
        <v>0</v>
      </c>
      <c r="I125" s="2">
        <f t="shared" si="30"/>
        <v>1</v>
      </c>
      <c r="J125" s="2">
        <f t="shared" si="30"/>
        <v>0</v>
      </c>
      <c r="K125" s="2">
        <f t="shared" si="30"/>
        <v>0</v>
      </c>
      <c r="M125" s="5"/>
    </row>
    <row r="126" spans="1:13" hidden="1" outlineLevel="1">
      <c r="C126" s="2" t="s">
        <v>54</v>
      </c>
      <c r="D126" s="2" t="str">
        <f>J26</f>
        <v>Series B</v>
      </c>
      <c r="E126" s="2" t="s">
        <v>47</v>
      </c>
      <c r="F126" s="2">
        <f t="shared" si="30"/>
        <v>0</v>
      </c>
      <c r="G126" s="2">
        <f t="shared" si="30"/>
        <v>0</v>
      </c>
      <c r="H126" s="2">
        <f t="shared" si="30"/>
        <v>0</v>
      </c>
      <c r="I126" s="2">
        <f t="shared" si="30"/>
        <v>0</v>
      </c>
      <c r="J126" s="2">
        <f t="shared" si="30"/>
        <v>1</v>
      </c>
      <c r="K126" s="2">
        <f t="shared" si="30"/>
        <v>0</v>
      </c>
      <c r="M126" s="7"/>
    </row>
    <row r="127" spans="1:13" hidden="1" outlineLevel="1">
      <c r="C127" s="2" t="s">
        <v>55</v>
      </c>
      <c r="D127" s="2" t="str">
        <f>K26</f>
        <v>Series C</v>
      </c>
      <c r="E127" s="2" t="s">
        <v>47</v>
      </c>
      <c r="F127" s="2">
        <f t="shared" si="30"/>
        <v>0</v>
      </c>
      <c r="G127" s="2">
        <f t="shared" si="30"/>
        <v>0</v>
      </c>
      <c r="H127" s="2">
        <f t="shared" si="30"/>
        <v>0</v>
      </c>
      <c r="I127" s="2">
        <f t="shared" si="30"/>
        <v>0</v>
      </c>
      <c r="J127" s="2">
        <f t="shared" si="30"/>
        <v>0</v>
      </c>
      <c r="K127" s="2">
        <f t="shared" si="30"/>
        <v>1</v>
      </c>
      <c r="M127" s="7"/>
    </row>
    <row r="128" spans="1:13" ht="15" collapsed="1">
      <c r="C128" s="40"/>
      <c r="D128" s="40"/>
      <c r="E128" s="40"/>
      <c r="M128" s="31"/>
    </row>
    <row r="129" spans="2:13" ht="15">
      <c r="B129" s="62" t="s">
        <v>30</v>
      </c>
      <c r="C129" s="61"/>
      <c r="D129" s="62"/>
      <c r="E129" s="62" t="s">
        <v>56</v>
      </c>
      <c r="F129" s="66"/>
      <c r="G129" s="66" t="s">
        <v>2</v>
      </c>
      <c r="H129" s="66" t="s">
        <v>3</v>
      </c>
      <c r="I129" s="66" t="s">
        <v>4</v>
      </c>
      <c r="J129" s="66" t="s">
        <v>5</v>
      </c>
      <c r="K129" s="66" t="s">
        <v>35</v>
      </c>
      <c r="L129" s="31"/>
      <c r="M129" s="31"/>
    </row>
    <row r="130" spans="2:13" hidden="1" outlineLevel="1">
      <c r="C130" s="41" t="str">
        <f>G26&amp;" Convertible Notes"</f>
        <v>Angel Convertible Notes</v>
      </c>
      <c r="D130" s="41"/>
      <c r="E130" s="41"/>
      <c r="L130" s="31"/>
      <c r="M130" s="31"/>
    </row>
    <row r="131" spans="2:13" hidden="1" outlineLevel="1">
      <c r="C131" s="2" t="s">
        <v>10</v>
      </c>
      <c r="E131" s="2" t="s">
        <v>48</v>
      </c>
      <c r="F131" s="42">
        <f>G27</f>
        <v>44774</v>
      </c>
      <c r="L131" s="31"/>
      <c r="M131" s="5"/>
    </row>
    <row r="132" spans="2:13" hidden="1" outlineLevel="1">
      <c r="C132" s="2" t="s">
        <v>23</v>
      </c>
      <c r="E132" s="2" t="s">
        <v>46</v>
      </c>
      <c r="F132" s="32">
        <f>G29</f>
        <v>50000</v>
      </c>
      <c r="L132" s="31"/>
      <c r="M132" s="7"/>
    </row>
    <row r="133" spans="2:13" hidden="1" outlineLevel="1">
      <c r="C133" s="2" t="s">
        <v>6</v>
      </c>
      <c r="E133" s="2" t="s">
        <v>49</v>
      </c>
      <c r="F133" s="21">
        <f>G47</f>
        <v>0.05</v>
      </c>
      <c r="L133" s="31"/>
      <c r="M133" s="7"/>
    </row>
    <row r="134" spans="2:13" hidden="1" outlineLevel="1">
      <c r="C134" s="2" t="s">
        <v>7</v>
      </c>
      <c r="E134" s="2" t="s">
        <v>46</v>
      </c>
      <c r="F134" s="32">
        <f>G48</f>
        <v>5000000</v>
      </c>
      <c r="L134" s="31"/>
      <c r="M134" s="7"/>
    </row>
    <row r="135" spans="2:13" hidden="1" outlineLevel="1">
      <c r="C135" s="2" t="s">
        <v>8</v>
      </c>
      <c r="E135" s="2" t="s">
        <v>49</v>
      </c>
      <c r="F135" s="21">
        <f>G49</f>
        <v>0.15</v>
      </c>
      <c r="M135" s="7"/>
    </row>
    <row r="136" spans="2:13" hidden="1" outlineLevel="1">
      <c r="C136" s="2" t="s">
        <v>21</v>
      </c>
      <c r="E136" s="2" t="s">
        <v>47</v>
      </c>
      <c r="F136" s="30"/>
      <c r="G136" s="2">
        <f>IF(AND(G123=1,G121&lt;&gt;1),1,0)</f>
        <v>1</v>
      </c>
      <c r="H136" s="2">
        <f>IF(AND(H123=1,H$121&lt;&gt;1),1,0)</f>
        <v>0</v>
      </c>
      <c r="I136" s="2">
        <f>IF(AND(I123=1,I121&lt;&gt;1),1,0)</f>
        <v>0</v>
      </c>
      <c r="J136" s="2">
        <f>IF(AND(J123=1,J121&lt;&gt;1),1,0)</f>
        <v>0</v>
      </c>
      <c r="K136" s="2">
        <f>IF(AND(K123=1,K121&lt;&gt;1),1,0)</f>
        <v>0</v>
      </c>
      <c r="M136" s="31"/>
    </row>
    <row r="137" spans="2:13" hidden="1" outlineLevel="1">
      <c r="C137" s="2" t="s">
        <v>16</v>
      </c>
      <c r="E137" s="2" t="s">
        <v>47</v>
      </c>
      <c r="F137" s="30"/>
      <c r="G137" s="2">
        <f>IF(F$121=1,0,IF(AND(G$121=1,F$121&lt;&gt;1,COUNTIF(F136:$G136,1)=1),1,0))</f>
        <v>0</v>
      </c>
      <c r="H137" s="2">
        <f>IF(G$121=1,0,IF(AND(H$121=1,G$121&lt;&gt;1,COUNTIF($G136:G136,1)=1),1,0))</f>
        <v>0</v>
      </c>
      <c r="I137" s="2">
        <f>IF(H$121=1,0,IF(AND(I$121=1,H$121&lt;&gt;1,COUNTIF($G136:H136,1)=1),1,0))</f>
        <v>1</v>
      </c>
      <c r="J137" s="2">
        <f>IF(I$121=1,0,IF(AND(J$121=1,I$121&lt;&gt;1,COUNTIF($G136:I136,1)=1),1,0))</f>
        <v>0</v>
      </c>
      <c r="K137" s="2">
        <f>IF(J$121=1,0,IF(AND(K$121=1,J$121&lt;&gt;1,COUNTIF($G136:J136,1)=1),1,0))</f>
        <v>0</v>
      </c>
      <c r="M137" s="31"/>
    </row>
    <row r="138" spans="2:13" hidden="1" outlineLevel="1">
      <c r="C138" s="2" t="s">
        <v>22</v>
      </c>
      <c r="E138" s="2" t="s">
        <v>57</v>
      </c>
      <c r="F138" s="30"/>
      <c r="G138" s="42">
        <f>IF(G137=1,G27,0)</f>
        <v>0</v>
      </c>
      <c r="H138" s="42">
        <f>IF(H137=1,H$27,0)</f>
        <v>0</v>
      </c>
      <c r="I138" s="42">
        <f>IF(I137=1,I27,0)</f>
        <v>45535</v>
      </c>
      <c r="J138" s="42">
        <f>IF(J137=1,J27,0)</f>
        <v>0</v>
      </c>
      <c r="K138" s="42">
        <f>IF(K137=1,K27,0)</f>
        <v>0</v>
      </c>
      <c r="M138" s="31"/>
    </row>
    <row r="139" spans="2:13" hidden="1" outlineLevel="1">
      <c r="C139" s="2" t="s">
        <v>17</v>
      </c>
      <c r="E139" s="2" t="s">
        <v>58</v>
      </c>
      <c r="F139" s="30"/>
      <c r="G139" s="2">
        <f>IFERROR(IF(G$137=1,DATEDIF($F131,G138,"m"),0),0)</f>
        <v>0</v>
      </c>
      <c r="H139" s="2">
        <f>IFERROR(IF(H$137=1,DATEDIF($F131,H138,"m"),0),0)</f>
        <v>0</v>
      </c>
      <c r="I139" s="2">
        <f>IFERROR(IF(I$137=1,DATEDIF($F131,I138,"m"),0),0)</f>
        <v>24</v>
      </c>
      <c r="J139" s="2">
        <f>IFERROR(IF(J$137=1,DATEDIF($F131,J138,"m"),0),0)</f>
        <v>0</v>
      </c>
      <c r="K139" s="2">
        <f>IFERROR(IF(K$137=1,DATEDIF($F131,K138,"m"),0),0)</f>
        <v>0</v>
      </c>
      <c r="M139" s="31"/>
    </row>
    <row r="140" spans="2:13" hidden="1" outlineLevel="1">
      <c r="C140" s="2" t="s">
        <v>18</v>
      </c>
      <c r="E140" s="2" t="s">
        <v>46</v>
      </c>
      <c r="F140" s="30"/>
      <c r="G140" s="32">
        <f>IF(G$137=1,G$139*$F132*($F133/12),0)</f>
        <v>0</v>
      </c>
      <c r="H140" s="32">
        <f>IF(H$137=1,H$139*$F132*($F133/12),0)</f>
        <v>0</v>
      </c>
      <c r="I140" s="32">
        <f>IF(I$137=1,I$139*$F132*($F133/12),0)</f>
        <v>5000</v>
      </c>
      <c r="J140" s="32">
        <f>IF(J$137=1,J$139*$F132*($F133/12),0)</f>
        <v>0</v>
      </c>
      <c r="K140" s="32">
        <f>IF(K$137=1,K$139*$F132*($F133/12),0)</f>
        <v>0</v>
      </c>
      <c r="M140" s="31"/>
    </row>
    <row r="141" spans="2:13" hidden="1" outlineLevel="1">
      <c r="C141" s="2" t="s">
        <v>19</v>
      </c>
      <c r="E141" s="2" t="s">
        <v>46</v>
      </c>
      <c r="F141" s="30"/>
      <c r="G141" s="32">
        <f>IF(G$137=1,(MIN(G$34*(1-$F135),$F134)),0)</f>
        <v>0</v>
      </c>
      <c r="H141" s="32">
        <f>IF(H$137=1,(MIN(H$34*(1-$F135),$F134)),0)</f>
        <v>0</v>
      </c>
      <c r="I141" s="32">
        <f>IF(I$137=1,(MIN(I$34*(1-$F135),$F134)),0)</f>
        <v>5000000</v>
      </c>
      <c r="J141" s="32">
        <f>IF(J$137=1,(MIN(J$34*(1-$F135),$F134)),0)</f>
        <v>0</v>
      </c>
      <c r="K141" s="32">
        <f>IF(K$137=1,(MIN(K$34*(1-$F135),$F134)),0)</f>
        <v>0</v>
      </c>
      <c r="M141" s="31"/>
    </row>
    <row r="142" spans="2:13" hidden="1" outlineLevel="1">
      <c r="C142" s="2" t="s">
        <v>20</v>
      </c>
      <c r="E142" s="2" t="s">
        <v>46</v>
      </c>
      <c r="F142" s="30"/>
      <c r="G142" s="32">
        <f>IF(G$137=1,($F132+G$140),0)</f>
        <v>0</v>
      </c>
      <c r="H142" s="32">
        <f>IF(H$137=1,($F132+H$140),0)</f>
        <v>0</v>
      </c>
      <c r="I142" s="32">
        <f>IF(I$137=1,($F132+I$140),0)</f>
        <v>55000</v>
      </c>
      <c r="J142" s="32">
        <f>IF(J$137=1,($F132+J$140),0)</f>
        <v>0</v>
      </c>
      <c r="K142" s="32">
        <f>IF(K$137=1,($F132+K$140),0)</f>
        <v>0</v>
      </c>
      <c r="M142" s="31"/>
    </row>
    <row r="143" spans="2:13" hidden="1" outlineLevel="1">
      <c r="H143" s="21"/>
      <c r="M143" s="31"/>
    </row>
    <row r="144" spans="2:13" hidden="1" outlineLevel="1">
      <c r="C144" s="41" t="str">
        <f>H26&amp;" Convertible Notes"</f>
        <v>Seed Convertible Notes</v>
      </c>
      <c r="D144" s="41"/>
      <c r="E144" s="41"/>
      <c r="M144" s="31"/>
    </row>
    <row r="145" spans="3:13" hidden="1" outlineLevel="1">
      <c r="C145" s="2" t="s">
        <v>10</v>
      </c>
      <c r="E145" s="2" t="s">
        <v>48</v>
      </c>
      <c r="F145" s="42">
        <f>H27</f>
        <v>45169</v>
      </c>
      <c r="M145" s="31"/>
    </row>
    <row r="146" spans="3:13" hidden="1" outlineLevel="1">
      <c r="C146" s="2" t="s">
        <v>23</v>
      </c>
      <c r="E146" s="2" t="s">
        <v>46</v>
      </c>
      <c r="F146" s="32">
        <f>H29</f>
        <v>500000</v>
      </c>
      <c r="M146" s="31"/>
    </row>
    <row r="147" spans="3:13" hidden="1" outlineLevel="1">
      <c r="C147" s="2" t="s">
        <v>6</v>
      </c>
      <c r="E147" s="2" t="s">
        <v>49</v>
      </c>
      <c r="F147" s="21">
        <f>H47</f>
        <v>0.05</v>
      </c>
      <c r="M147" s="31"/>
    </row>
    <row r="148" spans="3:13" hidden="1" outlineLevel="1">
      <c r="C148" s="2" t="s">
        <v>7</v>
      </c>
      <c r="E148" s="2" t="s">
        <v>46</v>
      </c>
      <c r="F148" s="32">
        <f>H48</f>
        <v>10000000</v>
      </c>
      <c r="M148" s="31"/>
    </row>
    <row r="149" spans="3:13" hidden="1" outlineLevel="1">
      <c r="C149" s="2" t="s">
        <v>8</v>
      </c>
      <c r="E149" s="2" t="s">
        <v>49</v>
      </c>
      <c r="F149" s="21">
        <f>H49</f>
        <v>0.2</v>
      </c>
      <c r="M149" s="31"/>
    </row>
    <row r="150" spans="3:13" hidden="1" outlineLevel="1">
      <c r="C150" s="2" t="s">
        <v>21</v>
      </c>
      <c r="E150" s="2" t="s">
        <v>47</v>
      </c>
      <c r="F150" s="30"/>
      <c r="G150" s="30"/>
      <c r="H150" s="2">
        <f>IF(AND(H124=1,H$121&lt;&gt;1),1,0)</f>
        <v>1</v>
      </c>
      <c r="I150" s="2">
        <f>IF(AND(I124=1,I$121&lt;&gt;1),1,0)</f>
        <v>0</v>
      </c>
      <c r="J150" s="2">
        <f>IF(AND(J124=1,J$121&lt;&gt;1),1,0)</f>
        <v>0</v>
      </c>
      <c r="K150" s="2">
        <f>IF(AND(K124=1,K$121&lt;&gt;1),1,0)</f>
        <v>0</v>
      </c>
      <c r="M150" s="31"/>
    </row>
    <row r="151" spans="3:13" hidden="1" outlineLevel="1">
      <c r="C151" s="2" t="s">
        <v>16</v>
      </c>
      <c r="E151" s="2" t="s">
        <v>47</v>
      </c>
      <c r="F151" s="30"/>
      <c r="G151" s="30"/>
      <c r="H151" s="2">
        <f>IF(G$121=1,0,IF(AND(H$121=1,G$121&lt;&gt;1,COUNTIF($G150:G150,1)=1),1,0))</f>
        <v>0</v>
      </c>
      <c r="I151" s="2">
        <f>IF(H$121=1,0,IF(AND(I$121=1,H$121&lt;&gt;1,COUNTIF($G150:H150,1)=1),1,0))</f>
        <v>1</v>
      </c>
      <c r="J151" s="2">
        <f>IF(I$121=1,0,IF(AND(J$121=1,I$121&lt;&gt;1,COUNTIF($G150:I150,1)=1),1,0))</f>
        <v>0</v>
      </c>
      <c r="K151" s="2">
        <f>IF(J$121=1,0,IF(AND(K$121=1,J$121&lt;&gt;1,COUNTIF($G150:J150,1)=1),1,0))</f>
        <v>0</v>
      </c>
      <c r="M151" s="31"/>
    </row>
    <row r="152" spans="3:13" hidden="1" outlineLevel="1">
      <c r="C152" s="2" t="s">
        <v>22</v>
      </c>
      <c r="E152" s="2" t="s">
        <v>57</v>
      </c>
      <c r="F152" s="30"/>
      <c r="G152" s="30"/>
      <c r="H152" s="42">
        <f>IF(H151=1,H$27,0)</f>
        <v>0</v>
      </c>
      <c r="I152" s="42">
        <f>IF(I151=1,I$27,0)</f>
        <v>45535</v>
      </c>
      <c r="J152" s="42">
        <f>IF(J151=1,J$27,0)</f>
        <v>0</v>
      </c>
      <c r="K152" s="42">
        <f>IF(K151=1,K$27,0)</f>
        <v>0</v>
      </c>
      <c r="M152" s="31"/>
    </row>
    <row r="153" spans="3:13" hidden="1" outlineLevel="1">
      <c r="C153" s="2" t="s">
        <v>17</v>
      </c>
      <c r="E153" s="2" t="s">
        <v>58</v>
      </c>
      <c r="F153" s="43"/>
      <c r="G153" s="43"/>
      <c r="H153" s="32">
        <f>IFERROR(IF(H$151=1,DATEDIF($F145,H152,"m"),0),0)</f>
        <v>0</v>
      </c>
      <c r="I153" s="32">
        <f>IFERROR(IF(I$151=1,DATEDIF($F145,I152,"m"),0),0)</f>
        <v>12</v>
      </c>
      <c r="J153" s="32">
        <f>IFERROR(IF(J$151=1,DATEDIF($F145,J152,"m"),0),0)</f>
        <v>0</v>
      </c>
      <c r="K153" s="32">
        <f>IFERROR(IF(K$151=1,DATEDIF($F145,K152,"m"),0),0)</f>
        <v>0</v>
      </c>
      <c r="M153" s="31"/>
    </row>
    <row r="154" spans="3:13" hidden="1" outlineLevel="1">
      <c r="C154" s="2" t="s">
        <v>18</v>
      </c>
      <c r="E154" s="2" t="s">
        <v>46</v>
      </c>
      <c r="F154" s="43"/>
      <c r="G154" s="43"/>
      <c r="H154" s="32">
        <f>IF(H$151=1,H$153*$F146*($F147/12),0)</f>
        <v>0</v>
      </c>
      <c r="I154" s="32">
        <f>IF(I$151=1,I$153*$F146*($F147/12),0)</f>
        <v>25000</v>
      </c>
      <c r="J154" s="32">
        <f>IF(J$151=1,J$153*$F146*($F147/12),0)</f>
        <v>0</v>
      </c>
      <c r="K154" s="32">
        <f>IF(K$151=1,K$153*$F146*($F147/12),0)</f>
        <v>0</v>
      </c>
      <c r="M154" s="31"/>
    </row>
    <row r="155" spans="3:13" hidden="1" outlineLevel="1">
      <c r="C155" s="2" t="s">
        <v>19</v>
      </c>
      <c r="E155" s="2" t="s">
        <v>46</v>
      </c>
      <c r="F155" s="43"/>
      <c r="G155" s="43"/>
      <c r="H155" s="32">
        <f>IF(H$151=1,(MIN(H$34*(1-$F149),$F148,H$34)),0)</f>
        <v>0</v>
      </c>
      <c r="I155" s="32">
        <f>IF(I$151=1,(MIN(I$34*(1-$F149),$F148,I$34)),0)</f>
        <v>8000000</v>
      </c>
      <c r="J155" s="32">
        <f>IF(J$151=1,(MIN(J$34*(1-$F149),$F148,J$34)),0)</f>
        <v>0</v>
      </c>
      <c r="K155" s="32">
        <f>IF(K$151=1,(MIN(K$34*(1-$F149),$F148,K$34)),0)</f>
        <v>0</v>
      </c>
      <c r="M155" s="31"/>
    </row>
    <row r="156" spans="3:13" hidden="1" outlineLevel="1">
      <c r="C156" s="2" t="s">
        <v>20</v>
      </c>
      <c r="E156" s="2" t="s">
        <v>46</v>
      </c>
      <c r="F156" s="43"/>
      <c r="G156" s="43"/>
      <c r="H156" s="32">
        <f>IF(H$151=1,($F146+H$154),0)</f>
        <v>0</v>
      </c>
      <c r="I156" s="32">
        <f>IF(I$151=1,($F146+I$154),0)</f>
        <v>525000</v>
      </c>
      <c r="J156" s="32">
        <f>IF(J$151=1,($F146+J$154),0)</f>
        <v>0</v>
      </c>
      <c r="K156" s="32">
        <f>IF(K$151=1,($F146+K$154),0)</f>
        <v>0</v>
      </c>
      <c r="M156" s="31"/>
    </row>
    <row r="157" spans="3:13" hidden="1" outlineLevel="1">
      <c r="M157" s="31"/>
    </row>
    <row r="158" spans="3:13" hidden="1" outlineLevel="1">
      <c r="C158" s="41" t="str">
        <f>I26&amp;" Convertible Notes"</f>
        <v>Series A Convertible Notes</v>
      </c>
      <c r="D158" s="41"/>
      <c r="E158" s="41"/>
      <c r="M158" s="31"/>
    </row>
    <row r="159" spans="3:13" hidden="1" outlineLevel="1">
      <c r="C159" s="2" t="s">
        <v>10</v>
      </c>
      <c r="E159" s="2" t="s">
        <v>48</v>
      </c>
      <c r="F159" s="42">
        <f>I27</f>
        <v>45535</v>
      </c>
      <c r="M159" s="31"/>
    </row>
    <row r="160" spans="3:13" hidden="1" outlineLevel="1">
      <c r="C160" s="2" t="s">
        <v>23</v>
      </c>
      <c r="E160" s="2" t="s">
        <v>46</v>
      </c>
      <c r="F160" s="32">
        <f>I29</f>
        <v>1000000</v>
      </c>
      <c r="M160" s="31"/>
    </row>
    <row r="161" spans="3:13" hidden="1" outlineLevel="1">
      <c r="C161" s="2" t="s">
        <v>6</v>
      </c>
      <c r="E161" s="2" t="s">
        <v>49</v>
      </c>
      <c r="F161" s="21">
        <f>I47</f>
        <v>0.05</v>
      </c>
      <c r="M161" s="31"/>
    </row>
    <row r="162" spans="3:13" hidden="1" outlineLevel="1">
      <c r="C162" s="2" t="s">
        <v>7</v>
      </c>
      <c r="E162" s="2" t="s">
        <v>46</v>
      </c>
      <c r="F162" s="32">
        <f>I48</f>
        <v>500000</v>
      </c>
      <c r="M162" s="31"/>
    </row>
    <row r="163" spans="3:13" hidden="1" outlineLevel="1">
      <c r="C163" s="2" t="s">
        <v>8</v>
      </c>
      <c r="E163" s="2" t="s">
        <v>49</v>
      </c>
      <c r="F163" s="21">
        <f>I49</f>
        <v>0.2</v>
      </c>
      <c r="M163" s="31"/>
    </row>
    <row r="164" spans="3:13" hidden="1" outlineLevel="1">
      <c r="C164" s="2" t="s">
        <v>21</v>
      </c>
      <c r="E164" s="2" t="s">
        <v>47</v>
      </c>
      <c r="F164" s="30"/>
      <c r="G164" s="30"/>
      <c r="H164" s="30"/>
      <c r="I164" s="2">
        <f>IF(AND(I125=1,I$121&lt;&gt;1),1,0)</f>
        <v>0</v>
      </c>
      <c r="J164" s="2">
        <f>IF(AND(J125=1,J$121&lt;&gt;1),1,0)</f>
        <v>0</v>
      </c>
      <c r="K164" s="2">
        <f>IF(AND(K125=1,K$121&lt;&gt;1),1,0)</f>
        <v>0</v>
      </c>
      <c r="M164" s="31"/>
    </row>
    <row r="165" spans="3:13" hidden="1" outlineLevel="1">
      <c r="C165" s="2" t="s">
        <v>16</v>
      </c>
      <c r="E165" s="2" t="s">
        <v>47</v>
      </c>
      <c r="F165" s="30"/>
      <c r="G165" s="30"/>
      <c r="H165" s="30"/>
      <c r="I165" s="2">
        <f>IF(H$121=1,0,IF(AND(I$121=1,H$121&lt;&gt;1,COUNTIF($G164:H164,1)=1),1,0))</f>
        <v>0</v>
      </c>
      <c r="J165" s="2">
        <f>IF(I$121=1,0,IF(AND(J$121=1,I$121&lt;&gt;1,COUNTIF($G164:I164,1)=1),1,0))</f>
        <v>0</v>
      </c>
      <c r="K165" s="2">
        <f>IF(J$121=1,0,IF(AND(K$121=1,J$121&lt;&gt;1,COUNTIF($G164:J164,1)=1),1,0))</f>
        <v>0</v>
      </c>
      <c r="M165" s="31"/>
    </row>
    <row r="166" spans="3:13" hidden="1" outlineLevel="1">
      <c r="C166" s="2" t="s">
        <v>22</v>
      </c>
      <c r="E166" s="2" t="s">
        <v>57</v>
      </c>
      <c r="F166" s="30"/>
      <c r="G166" s="30"/>
      <c r="H166" s="30"/>
      <c r="I166" s="42">
        <f>IF(I165=1,I$27,0)</f>
        <v>0</v>
      </c>
      <c r="J166" s="42">
        <f>IF(J165=1,J$27,0)</f>
        <v>0</v>
      </c>
      <c r="K166" s="42">
        <f>IF(K165=1,K$27,0)</f>
        <v>0</v>
      </c>
      <c r="M166" s="31"/>
    </row>
    <row r="167" spans="3:13" hidden="1" outlineLevel="1">
      <c r="C167" s="2" t="s">
        <v>17</v>
      </c>
      <c r="E167" s="2" t="s">
        <v>58</v>
      </c>
      <c r="F167" s="30"/>
      <c r="G167" s="30"/>
      <c r="H167" s="30"/>
      <c r="I167" s="2">
        <f>IFERROR(IF(I$165=1,DATEDIF($F159,I166,"m"),0),0)</f>
        <v>0</v>
      </c>
      <c r="J167" s="2">
        <f>IFERROR(IF(J$165=1,DATEDIF($F159,J166,"m"),0),0)</f>
        <v>0</v>
      </c>
      <c r="K167" s="2">
        <f>IFERROR(IF(K$165=1,DATEDIF($F159,K166,"m"),0),0)</f>
        <v>0</v>
      </c>
      <c r="M167" s="31"/>
    </row>
    <row r="168" spans="3:13" hidden="1" outlineLevel="1">
      <c r="C168" s="2" t="s">
        <v>18</v>
      </c>
      <c r="E168" s="2" t="s">
        <v>46</v>
      </c>
      <c r="F168" s="44"/>
      <c r="G168" s="44"/>
      <c r="H168" s="44"/>
      <c r="I168" s="32">
        <f>IF(I$165=1,I$167*$F160*($F161/12),0)</f>
        <v>0</v>
      </c>
      <c r="J168" s="32">
        <f>IF(J$165=1,J$167*$F160*($F161/12),0)</f>
        <v>0</v>
      </c>
      <c r="K168" s="32">
        <f>IF(K$165=1,K$167*$F160*($F161/12),0)</f>
        <v>0</v>
      </c>
      <c r="M168" s="31"/>
    </row>
    <row r="169" spans="3:13" hidden="1" outlineLevel="1">
      <c r="C169" s="2" t="s">
        <v>19</v>
      </c>
      <c r="E169" s="2" t="s">
        <v>46</v>
      </c>
      <c r="F169" s="44"/>
      <c r="G169" s="44"/>
      <c r="H169" s="44"/>
      <c r="I169" s="32">
        <f>IF(I$165=1,(MIN(I$34*(1-$F163),$F162,I$34)),0)</f>
        <v>0</v>
      </c>
      <c r="J169" s="32">
        <f>IF(J$165=1,(MIN(J$34*(1-$F163),$F162,J$34)),0)</f>
        <v>0</v>
      </c>
      <c r="K169" s="32">
        <f>IF(K$165=1,(MIN(K$34*(1-$F163),$F162,K$34)),0)</f>
        <v>0</v>
      </c>
      <c r="M169" s="31"/>
    </row>
    <row r="170" spans="3:13" hidden="1" outlineLevel="1">
      <c r="C170" s="2" t="s">
        <v>20</v>
      </c>
      <c r="E170" s="2" t="s">
        <v>46</v>
      </c>
      <c r="F170" s="44"/>
      <c r="G170" s="44"/>
      <c r="H170" s="44"/>
      <c r="I170" s="32">
        <f>IF(I$165=1,($F160+I$168),0)</f>
        <v>0</v>
      </c>
      <c r="J170" s="32">
        <f>IF(J$165=1,($F160+J$168),0)</f>
        <v>0</v>
      </c>
      <c r="K170" s="32">
        <f>IF(K$165=1,($F160+K$168),0)</f>
        <v>0</v>
      </c>
      <c r="M170" s="31"/>
    </row>
    <row r="171" spans="3:13" hidden="1" outlineLevel="1">
      <c r="M171" s="31"/>
    </row>
    <row r="172" spans="3:13" hidden="1" outlineLevel="1">
      <c r="C172" s="41" t="str">
        <f>J26&amp;" Convertible Notes"</f>
        <v>Series B Convertible Notes</v>
      </c>
      <c r="D172" s="41"/>
      <c r="E172" s="41"/>
    </row>
    <row r="173" spans="3:13" hidden="1" outlineLevel="1">
      <c r="C173" s="2" t="s">
        <v>10</v>
      </c>
      <c r="E173" s="2" t="s">
        <v>48</v>
      </c>
      <c r="F173" s="42">
        <f>J27</f>
        <v>45900</v>
      </c>
    </row>
    <row r="174" spans="3:13" hidden="1" outlineLevel="1">
      <c r="C174" s="2" t="s">
        <v>23</v>
      </c>
      <c r="E174" s="2" t="s">
        <v>46</v>
      </c>
      <c r="F174" s="32">
        <f>J29</f>
        <v>5000000</v>
      </c>
    </row>
    <row r="175" spans="3:13" hidden="1" outlineLevel="1">
      <c r="C175" s="2" t="s">
        <v>6</v>
      </c>
      <c r="E175" s="2" t="s">
        <v>49</v>
      </c>
      <c r="F175" s="21">
        <f>J47</f>
        <v>0.05</v>
      </c>
    </row>
    <row r="176" spans="3:13" hidden="1" outlineLevel="1">
      <c r="C176" s="2" t="s">
        <v>7</v>
      </c>
      <c r="E176" s="2" t="s">
        <v>46</v>
      </c>
      <c r="F176" s="32">
        <f>J48</f>
        <v>500000</v>
      </c>
    </row>
    <row r="177" spans="3:11" hidden="1" outlineLevel="1">
      <c r="C177" s="2" t="s">
        <v>8</v>
      </c>
      <c r="E177" s="2" t="s">
        <v>49</v>
      </c>
      <c r="F177" s="21">
        <f>J49</f>
        <v>0.2</v>
      </c>
    </row>
    <row r="178" spans="3:11" hidden="1" outlineLevel="1">
      <c r="C178" s="2" t="s">
        <v>21</v>
      </c>
      <c r="E178" s="2" t="s">
        <v>47</v>
      </c>
      <c r="F178" s="30"/>
      <c r="G178" s="30"/>
      <c r="H178" s="30"/>
      <c r="I178" s="30"/>
      <c r="J178" s="2">
        <f>IF(AND(J126=1,J$121&lt;&gt;1),1,0)</f>
        <v>0</v>
      </c>
      <c r="K178" s="2">
        <f>IF(AND(K126=1,K$121&lt;&gt;1),1,0)</f>
        <v>0</v>
      </c>
    </row>
    <row r="179" spans="3:11" hidden="1" outlineLevel="1">
      <c r="C179" s="2" t="s">
        <v>16</v>
      </c>
      <c r="E179" s="2" t="s">
        <v>47</v>
      </c>
      <c r="F179" s="30"/>
      <c r="G179" s="30"/>
      <c r="H179" s="30"/>
      <c r="I179" s="30"/>
      <c r="J179" s="2">
        <f>IF(I$121=1,0,IF(AND(J$121=1,I$121&lt;&gt;1,COUNTIF($G178:I178,1)=1),1,0))</f>
        <v>0</v>
      </c>
      <c r="K179" s="2">
        <f>IF(J$121=1,0,IF(AND(K$121=1,J$121&lt;&gt;1,COUNTIF($G178:J178,1)=1),1,0))</f>
        <v>0</v>
      </c>
    </row>
    <row r="180" spans="3:11" hidden="1" outlineLevel="1">
      <c r="C180" s="2" t="s">
        <v>22</v>
      </c>
      <c r="E180" s="2" t="s">
        <v>57</v>
      </c>
      <c r="F180" s="30"/>
      <c r="G180" s="30"/>
      <c r="H180" s="30"/>
      <c r="I180" s="30"/>
      <c r="J180" s="42">
        <f>IF(J179=1,J$27,0)</f>
        <v>0</v>
      </c>
      <c r="K180" s="42">
        <f>IF(K179=1,K$27,0)</f>
        <v>0</v>
      </c>
    </row>
    <row r="181" spans="3:11" hidden="1" outlineLevel="1">
      <c r="C181" s="2" t="s">
        <v>17</v>
      </c>
      <c r="E181" s="2" t="s">
        <v>58</v>
      </c>
      <c r="F181" s="30"/>
      <c r="G181" s="30"/>
      <c r="H181" s="30"/>
      <c r="I181" s="30"/>
      <c r="J181" s="2">
        <f>IFERROR(IF(J$179=1,DATEDIF($F173,J180,"m"),0),0)</f>
        <v>0</v>
      </c>
      <c r="K181" s="2">
        <f>IFERROR(IF(K$179=1,DATEDIF($F173,K180,"m"),0),0)</f>
        <v>0</v>
      </c>
    </row>
    <row r="182" spans="3:11" hidden="1" outlineLevel="1">
      <c r="C182" s="2" t="s">
        <v>18</v>
      </c>
      <c r="E182" s="2" t="s">
        <v>46</v>
      </c>
      <c r="F182" s="44"/>
      <c r="G182" s="44"/>
      <c r="H182" s="44"/>
      <c r="I182" s="44"/>
      <c r="J182" s="32">
        <f>IF(J$179=1,J$181*$F174*($F175/12),0)</f>
        <v>0</v>
      </c>
      <c r="K182" s="32">
        <f>IF(K$179=1,K$181*$F174*($F175/12),0)</f>
        <v>0</v>
      </c>
    </row>
    <row r="183" spans="3:11" hidden="1" outlineLevel="1">
      <c r="C183" s="2" t="s">
        <v>19</v>
      </c>
      <c r="E183" s="2" t="s">
        <v>46</v>
      </c>
      <c r="F183" s="44"/>
      <c r="G183" s="44"/>
      <c r="H183" s="44"/>
      <c r="I183" s="44"/>
      <c r="J183" s="32">
        <f>IF(J$179=1,(MIN(J$34*(1-$F177),$F176,J$34)),0)</f>
        <v>0</v>
      </c>
      <c r="K183" s="32">
        <f>IF(K$179=1,(MIN(K$34*(1-$F177),$F176,K$34)),0)</f>
        <v>0</v>
      </c>
    </row>
    <row r="184" spans="3:11" hidden="1" outlineLevel="1">
      <c r="C184" s="2" t="s">
        <v>20</v>
      </c>
      <c r="E184" s="2" t="s">
        <v>46</v>
      </c>
      <c r="F184" s="44"/>
      <c r="G184" s="44"/>
      <c r="H184" s="44"/>
      <c r="I184" s="44"/>
      <c r="J184" s="32">
        <f>IF(J$180=1,($F174+J$182),0)</f>
        <v>0</v>
      </c>
      <c r="K184" s="32">
        <f>IF(K$180=1,($F174+K$182),0)</f>
        <v>0</v>
      </c>
    </row>
    <row r="185" spans="3:11" hidden="1" outlineLevel="1">
      <c r="J185" s="32"/>
      <c r="K185" s="32"/>
    </row>
    <row r="186" spans="3:11" hidden="1" outlineLevel="1">
      <c r="C186" s="41" t="str">
        <f>K58&amp;" Convertible Notes"</f>
        <v>Series C Convertible Notes</v>
      </c>
      <c r="D186" s="41"/>
      <c r="E186" s="41"/>
    </row>
    <row r="187" spans="3:11" hidden="1" outlineLevel="1">
      <c r="C187" s="2" t="s">
        <v>10</v>
      </c>
      <c r="E187" s="2" t="s">
        <v>48</v>
      </c>
      <c r="F187" s="42">
        <f>K27</f>
        <v>46265</v>
      </c>
    </row>
    <row r="188" spans="3:11" hidden="1" outlineLevel="1">
      <c r="C188" s="2" t="s">
        <v>23</v>
      </c>
      <c r="E188" s="2" t="s">
        <v>46</v>
      </c>
      <c r="F188" s="32">
        <f>K29</f>
        <v>50000000</v>
      </c>
    </row>
    <row r="189" spans="3:11" hidden="1" outlineLevel="1">
      <c r="C189" s="2" t="s">
        <v>6</v>
      </c>
      <c r="E189" s="2" t="s">
        <v>49</v>
      </c>
      <c r="F189" s="21">
        <f>K47</f>
        <v>0.05</v>
      </c>
    </row>
    <row r="190" spans="3:11" hidden="1" outlineLevel="1">
      <c r="C190" s="2" t="s">
        <v>7</v>
      </c>
      <c r="E190" s="2" t="s">
        <v>46</v>
      </c>
      <c r="F190" s="32">
        <f>K48</f>
        <v>500000</v>
      </c>
    </row>
    <row r="191" spans="3:11" hidden="1" outlineLevel="1">
      <c r="C191" s="2" t="s">
        <v>8</v>
      </c>
      <c r="E191" s="2" t="s">
        <v>49</v>
      </c>
      <c r="F191" s="21">
        <f>K49</f>
        <v>0.2</v>
      </c>
    </row>
    <row r="192" spans="3:11" hidden="1" outlineLevel="1">
      <c r="C192" s="2" t="s">
        <v>21</v>
      </c>
      <c r="E192" s="2" t="s">
        <v>47</v>
      </c>
      <c r="F192" s="30"/>
      <c r="G192" s="30"/>
      <c r="H192" s="30"/>
      <c r="I192" s="30"/>
      <c r="J192" s="30"/>
      <c r="K192" s="2">
        <f>IF(AND(K127=1,K$121&lt;&gt;1),1,0)</f>
        <v>0</v>
      </c>
    </row>
    <row r="193" spans="3:11" hidden="1" outlineLevel="1">
      <c r="C193" s="2" t="s">
        <v>16</v>
      </c>
      <c r="E193" s="2" t="s">
        <v>47</v>
      </c>
      <c r="F193" s="30"/>
      <c r="G193" s="30"/>
      <c r="H193" s="30"/>
      <c r="I193" s="30"/>
      <c r="J193" s="30"/>
      <c r="K193" s="2">
        <f>IF(J$121=1,0,IF(AND(K$121=1,J$121&lt;&gt;1,COUNTIF($G192:J192,1)=1),1,0))</f>
        <v>0</v>
      </c>
    </row>
    <row r="194" spans="3:11" hidden="1" outlineLevel="1">
      <c r="C194" s="2" t="s">
        <v>22</v>
      </c>
      <c r="E194" s="2" t="s">
        <v>57</v>
      </c>
      <c r="F194" s="30"/>
      <c r="G194" s="30"/>
      <c r="H194" s="30"/>
      <c r="I194" s="30"/>
      <c r="J194" s="30"/>
      <c r="K194" s="42">
        <f>IF(K193=1,K$27,0)</f>
        <v>0</v>
      </c>
    </row>
    <row r="195" spans="3:11" hidden="1" outlineLevel="1">
      <c r="C195" s="2" t="s">
        <v>17</v>
      </c>
      <c r="E195" s="2" t="s">
        <v>58</v>
      </c>
      <c r="F195" s="30"/>
      <c r="G195" s="30"/>
      <c r="H195" s="30"/>
      <c r="I195" s="30"/>
      <c r="J195" s="30"/>
      <c r="K195" s="2">
        <f>IFERROR(IF(K$193=1,DATEDIF($F187,K194,"m"),0),0)</f>
        <v>0</v>
      </c>
    </row>
    <row r="196" spans="3:11" hidden="1" outlineLevel="1">
      <c r="C196" s="2" t="s">
        <v>18</v>
      </c>
      <c r="E196" s="2" t="s">
        <v>46</v>
      </c>
      <c r="F196" s="44"/>
      <c r="G196" s="44"/>
      <c r="H196" s="44"/>
      <c r="I196" s="44"/>
      <c r="J196" s="44"/>
      <c r="K196" s="32">
        <f>IF(K$193=1,K$195*$F188*($F189/12),0)</f>
        <v>0</v>
      </c>
    </row>
    <row r="197" spans="3:11" hidden="1" outlineLevel="1">
      <c r="C197" s="2" t="s">
        <v>19</v>
      </c>
      <c r="E197" s="2" t="s">
        <v>46</v>
      </c>
      <c r="F197" s="44"/>
      <c r="G197" s="44"/>
      <c r="H197" s="44"/>
      <c r="I197" s="44"/>
      <c r="J197" s="44"/>
      <c r="K197" s="32">
        <f>IF(K$193=1,(MIN(K$34*(1-$F191),$F190,K$34)),0)</f>
        <v>0</v>
      </c>
    </row>
    <row r="198" spans="3:11" hidden="1" outlineLevel="1">
      <c r="C198" s="2" t="s">
        <v>20</v>
      </c>
      <c r="E198" s="2" t="s">
        <v>46</v>
      </c>
      <c r="F198" s="44"/>
      <c r="G198" s="44"/>
      <c r="H198" s="44"/>
      <c r="I198" s="44"/>
      <c r="J198" s="44"/>
      <c r="K198" s="32">
        <f>IF(K$193=1,($F188+K$196),0)</f>
        <v>0</v>
      </c>
    </row>
    <row r="199" spans="3:11" collapsed="1"/>
  </sheetData>
  <conditionalFormatting sqref="G37:K38">
    <cfRule type="expression" dxfId="3" priority="1">
      <formula>G$121=0</formula>
    </cfRule>
  </conditionalFormatting>
  <conditionalFormatting sqref="G47:K47 G49:K49 I48:K48">
    <cfRule type="expression" dxfId="2" priority="6">
      <formula>G$121=1</formula>
    </cfRule>
  </conditionalFormatting>
  <pageMargins left="0.7" right="0.7" top="0.75" bottom="0.75" header="0.3" footer="0.3"/>
  <pageSetup orientation="portrait" r:id="rId1"/>
  <ignoredErrors>
    <ignoredError sqref="H136:H138 H95 K92:K94 H92:J92 I95:K95 H94:J94 I93:J93 H91:K9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648167-AE7F-0D49-854C-017ED390A336}">
          <x14:formula1>
            <xm:f>#REF!</xm:f>
          </x14:formula1>
          <xm:sqref>G28:K28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F337-6FB5-4B4C-A703-2F52D67CACBC}">
  <dimension ref="A1:K35"/>
  <sheetViews>
    <sheetView showGridLines="0" workbookViewId="0">
      <selection activeCell="G35" sqref="G35"/>
    </sheetView>
  </sheetViews>
  <sheetFormatPr defaultColWidth="0" defaultRowHeight="15" zeroHeight="1"/>
  <cols>
    <col min="1" max="1" width="3.5703125" style="205" customWidth="1"/>
    <col min="2" max="2" width="16.140625" style="205" bestFit="1" customWidth="1"/>
    <col min="3" max="3" width="17" style="205" customWidth="1"/>
    <col min="4" max="7" width="19.42578125" style="205" customWidth="1"/>
    <col min="8" max="8" width="4.140625" style="205" customWidth="1"/>
    <col min="9" max="10" width="0" style="205" hidden="1" customWidth="1"/>
    <col min="11" max="11" width="0" style="205" hidden="1"/>
    <col min="12" max="16384" width="12.42578125" style="205" hidden="1"/>
  </cols>
  <sheetData>
    <row r="1" spans="2:7" s="203" customFormat="1" ht="18">
      <c r="B1" s="204" t="s">
        <v>111</v>
      </c>
    </row>
    <row r="2" spans="2:7"/>
    <row r="3" spans="2:7">
      <c r="B3" s="205" t="s">
        <v>110</v>
      </c>
      <c r="C3" s="206">
        <v>0.5</v>
      </c>
    </row>
    <row r="4" spans="2:7"/>
    <row r="5" spans="2:7">
      <c r="B5" s="207" t="s">
        <v>109</v>
      </c>
      <c r="C5" s="207"/>
      <c r="D5" s="208" t="s">
        <v>108</v>
      </c>
      <c r="E5" s="208" t="s">
        <v>107</v>
      </c>
      <c r="F5" s="208" t="s">
        <v>106</v>
      </c>
      <c r="G5" s="208" t="s">
        <v>112</v>
      </c>
    </row>
    <row r="6" spans="2:7">
      <c r="B6" s="207" t="s">
        <v>56</v>
      </c>
      <c r="C6" s="207" t="s">
        <v>105</v>
      </c>
      <c r="D6" s="208" t="s">
        <v>104</v>
      </c>
      <c r="E6" s="208" t="s">
        <v>103</v>
      </c>
      <c r="F6" s="208" t="s">
        <v>102</v>
      </c>
      <c r="G6" s="209" t="str">
        <f>"@"&amp;C3&amp;"m MAU ($m)"</f>
        <v>@0.5m MAU ($m)</v>
      </c>
    </row>
    <row r="7" spans="2:7">
      <c r="B7" s="205" t="s">
        <v>90</v>
      </c>
      <c r="C7" s="205" t="s">
        <v>101</v>
      </c>
      <c r="D7" s="210">
        <v>106</v>
      </c>
      <c r="E7" s="211">
        <v>26200</v>
      </c>
      <c r="F7" s="211">
        <f>E7/D7</f>
        <v>247.16981132075472</v>
      </c>
      <c r="G7" s="211">
        <f>F7*$C$3</f>
        <v>123.58490566037736</v>
      </c>
    </row>
    <row r="8" spans="2:7">
      <c r="B8" s="205" t="s">
        <v>113</v>
      </c>
      <c r="C8" s="205" t="s">
        <v>100</v>
      </c>
      <c r="D8" s="210">
        <v>2000</v>
      </c>
      <c r="E8" s="211">
        <v>492619</v>
      </c>
      <c r="F8" s="211">
        <f>E8/D8</f>
        <v>246.30950000000001</v>
      </c>
      <c r="G8" s="211">
        <f>F8*$C$3</f>
        <v>123.15475000000001</v>
      </c>
    </row>
    <row r="9" spans="2:7">
      <c r="B9" s="205" t="s">
        <v>113</v>
      </c>
      <c r="C9" s="205" t="s">
        <v>99</v>
      </c>
      <c r="D9" s="210">
        <v>82.3</v>
      </c>
      <c r="E9" s="211">
        <v>8570</v>
      </c>
      <c r="F9" s="211">
        <f>E9/D9</f>
        <v>104.13122721749697</v>
      </c>
      <c r="G9" s="211">
        <f>F9*$C$3</f>
        <v>52.065613608748485</v>
      </c>
    </row>
    <row r="10" spans="2:7">
      <c r="B10" s="205" t="s">
        <v>113</v>
      </c>
      <c r="C10" s="205" t="s">
        <v>98</v>
      </c>
      <c r="D10" s="210">
        <v>300</v>
      </c>
      <c r="E10" s="211">
        <v>15940</v>
      </c>
      <c r="F10" s="211">
        <f>E10/D10</f>
        <v>53.133333333333333</v>
      </c>
      <c r="G10" s="211">
        <f>F10*$C$3</f>
        <v>26.566666666666666</v>
      </c>
    </row>
    <row r="11" spans="2:7">
      <c r="B11" s="205" t="s">
        <v>113</v>
      </c>
      <c r="C11" s="205" t="s">
        <v>97</v>
      </c>
      <c r="D11" s="210">
        <v>340</v>
      </c>
      <c r="E11" s="211">
        <v>17220</v>
      </c>
      <c r="F11" s="211">
        <f>E11/D11</f>
        <v>50.647058823529413</v>
      </c>
      <c r="G11" s="211">
        <f>F11*$C$3</f>
        <v>25.323529411764707</v>
      </c>
    </row>
    <row r="12" spans="2:7">
      <c r="B12" s="205" t="s">
        <v>90</v>
      </c>
      <c r="C12" s="205" t="s">
        <v>96</v>
      </c>
      <c r="D12" s="210">
        <v>450</v>
      </c>
      <c r="E12" s="211">
        <v>19000</v>
      </c>
      <c r="F12" s="211">
        <f>E12/D12</f>
        <v>42.222222222222221</v>
      </c>
      <c r="G12" s="211">
        <f>F12*$C$3</f>
        <v>21.111111111111111</v>
      </c>
    </row>
    <row r="13" spans="2:7">
      <c r="B13" s="205" t="s">
        <v>113</v>
      </c>
      <c r="C13" s="205" t="s">
        <v>95</v>
      </c>
      <c r="D13" s="210">
        <v>80</v>
      </c>
      <c r="E13" s="211">
        <v>3070</v>
      </c>
      <c r="F13" s="211">
        <f>E13/D13</f>
        <v>38.375</v>
      </c>
      <c r="G13" s="211">
        <f>F13*$C$3</f>
        <v>19.1875</v>
      </c>
    </row>
    <row r="14" spans="2:7">
      <c r="B14" s="205" t="s">
        <v>113</v>
      </c>
      <c r="C14" s="205" t="s">
        <v>94</v>
      </c>
      <c r="D14" s="210">
        <v>328</v>
      </c>
      <c r="E14" s="211">
        <v>11910</v>
      </c>
      <c r="F14" s="211">
        <f>E14/D14</f>
        <v>36.310975609756099</v>
      </c>
      <c r="G14" s="211">
        <f>F14*$C$3</f>
        <v>18.155487804878049</v>
      </c>
    </row>
    <row r="15" spans="2:7">
      <c r="B15" s="205" t="s">
        <v>90</v>
      </c>
      <c r="C15" s="205" t="s">
        <v>93</v>
      </c>
      <c r="D15" s="210">
        <v>20</v>
      </c>
      <c r="E15" s="211">
        <v>475</v>
      </c>
      <c r="F15" s="211">
        <f>E15/D15</f>
        <v>23.75</v>
      </c>
      <c r="G15" s="211">
        <f>F15*$C$3</f>
        <v>11.875</v>
      </c>
    </row>
    <row r="16" spans="2:7">
      <c r="B16" s="205" t="s">
        <v>90</v>
      </c>
      <c r="C16" s="205" t="s">
        <v>92</v>
      </c>
      <c r="D16" s="210">
        <v>45</v>
      </c>
      <c r="E16" s="212">
        <v>970</v>
      </c>
      <c r="F16" s="211">
        <f>E16/D16</f>
        <v>21.555555555555557</v>
      </c>
      <c r="G16" s="211">
        <f>F16*$C$3</f>
        <v>10.777777777777779</v>
      </c>
    </row>
    <row r="17" spans="2:7">
      <c r="B17" s="205" t="s">
        <v>113</v>
      </c>
      <c r="C17" s="205" t="s">
        <v>91</v>
      </c>
      <c r="D17" s="210">
        <f>83+74</f>
        <v>157</v>
      </c>
      <c r="E17" s="211">
        <v>3230</v>
      </c>
      <c r="F17" s="211">
        <f>E17/D17</f>
        <v>20.573248407643312</v>
      </c>
      <c r="G17" s="211">
        <f>F17*$C$3</f>
        <v>10.286624203821656</v>
      </c>
    </row>
    <row r="18" spans="2:7">
      <c r="B18" s="205" t="s">
        <v>90</v>
      </c>
      <c r="C18" s="205" t="s">
        <v>89</v>
      </c>
      <c r="D18" s="210">
        <v>50</v>
      </c>
      <c r="E18" s="211">
        <v>1000</v>
      </c>
      <c r="F18" s="211">
        <f>E18/D18</f>
        <v>20</v>
      </c>
      <c r="G18" s="211">
        <f>F18*$C$3</f>
        <v>10</v>
      </c>
    </row>
    <row r="19" spans="2:7">
      <c r="B19" s="205" t="s">
        <v>113</v>
      </c>
      <c r="C19" s="205" t="s">
        <v>88</v>
      </c>
      <c r="D19" s="210">
        <f>96.1+56</f>
        <v>152.1</v>
      </c>
      <c r="E19" s="211">
        <v>2450</v>
      </c>
      <c r="F19" s="211">
        <f>E19/D19</f>
        <v>16.107823800131492</v>
      </c>
      <c r="G19" s="211">
        <f>F19*$C$3</f>
        <v>8.0539119000657458</v>
      </c>
    </row>
    <row r="20" spans="2:7" ht="8.1" customHeight="1"/>
    <row r="21" spans="2:7" ht="15.75">
      <c r="C21" s="213" t="s">
        <v>87</v>
      </c>
      <c r="D21" s="214">
        <f t="shared" ref="D21:D22" si="0">$C$3</f>
        <v>0.5</v>
      </c>
      <c r="E21" s="215"/>
      <c r="F21" s="216">
        <f>MIN(F7:F19)</f>
        <v>16.107823800131492</v>
      </c>
      <c r="G21" s="217">
        <f>F21*D21</f>
        <v>8.0539119000657458</v>
      </c>
    </row>
    <row r="22" spans="2:7" ht="15.75">
      <c r="C22" s="218" t="s">
        <v>86</v>
      </c>
      <c r="D22" s="219">
        <f>$C$3</f>
        <v>0.5</v>
      </c>
      <c r="E22" s="220"/>
      <c r="F22" s="221">
        <f>AVERAGE(F7:F19)</f>
        <v>70.791212022340247</v>
      </c>
      <c r="G22" s="222">
        <f>F22*D22</f>
        <v>35.395606011170123</v>
      </c>
    </row>
    <row r="23" spans="2:7" ht="15.75">
      <c r="C23" s="218" t="s">
        <v>85</v>
      </c>
      <c r="D23" s="219">
        <f t="shared" ref="D23:D24" si="1">$C$3</f>
        <v>0.5</v>
      </c>
      <c r="E23" s="220"/>
      <c r="F23" s="221">
        <f>MEDIAN(F7:F19)</f>
        <v>38.375</v>
      </c>
      <c r="G23" s="222">
        <f>F23*D23</f>
        <v>19.1875</v>
      </c>
    </row>
    <row r="24" spans="2:7" ht="15.75">
      <c r="C24" s="223" t="s">
        <v>84</v>
      </c>
      <c r="D24" s="224">
        <f t="shared" si="1"/>
        <v>0.5</v>
      </c>
      <c r="E24" s="225"/>
      <c r="F24" s="226">
        <f>MAX(F7:F19)</f>
        <v>247.16981132075472</v>
      </c>
      <c r="G24" s="227">
        <f>F24*D24</f>
        <v>123.58490566037736</v>
      </c>
    </row>
    <row r="25" spans="2:7"/>
    <row r="26" spans="2:7"/>
    <row r="27" spans="2:7"/>
    <row r="28" spans="2:7"/>
    <row r="35"/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16F0-27CC-4468-B227-EFD6B0C49E6E}">
  <dimension ref="A1:XEY1067"/>
  <sheetViews>
    <sheetView showGridLines="0" tabSelected="1" zoomScaleNormal="100" workbookViewId="0">
      <selection activeCell="F12" sqref="F12"/>
    </sheetView>
  </sheetViews>
  <sheetFormatPr defaultColWidth="12.7109375" defaultRowHeight="15" customHeight="1"/>
  <cols>
    <col min="1" max="1" width="2.7109375" style="112" customWidth="1"/>
    <col min="2" max="2" width="36.7109375" style="112" customWidth="1"/>
    <col min="3" max="16384" width="12.7109375" style="112"/>
  </cols>
  <sheetData>
    <row r="1" spans="1:54 16379:16379" s="122" customFormat="1" ht="35.25">
      <c r="A1" s="121" t="s">
        <v>176</v>
      </c>
    </row>
    <row r="2" spans="1:54 16379:16379" s="124" customFormat="1" ht="7.5" customHeight="1">
      <c r="A2" s="123"/>
    </row>
    <row r="3" spans="1:54 16379:16379" ht="12.75">
      <c r="B3" s="126" t="s">
        <v>175</v>
      </c>
      <c r="C3" s="127" t="s">
        <v>178</v>
      </c>
      <c r="D3" s="127" t="s">
        <v>179</v>
      </c>
      <c r="E3" s="127" t="s">
        <v>180</v>
      </c>
      <c r="F3" s="128" t="s">
        <v>181</v>
      </c>
      <c r="G3" s="128" t="s">
        <v>182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</row>
    <row r="4" spans="1:54 16379:16379" s="124" customFormat="1" ht="7.5" customHeight="1">
      <c r="A4" s="123"/>
    </row>
    <row r="5" spans="1:54 16379:16379" ht="12.75">
      <c r="B5" s="131" t="s">
        <v>177</v>
      </c>
      <c r="C5" s="130"/>
      <c r="D5" s="130"/>
      <c r="E5" s="130"/>
      <c r="F5" s="130"/>
      <c r="G5" s="130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</row>
    <row r="6" spans="1:54 16379:16379" ht="12.75">
      <c r="B6" s="96" t="s">
        <v>174</v>
      </c>
      <c r="C6" s="114">
        <v>0.7</v>
      </c>
      <c r="D6" s="114">
        <v>0.5</v>
      </c>
      <c r="E6" s="114">
        <v>0.25</v>
      </c>
      <c r="F6" s="114">
        <v>0.25</v>
      </c>
      <c r="G6" s="114">
        <v>0.25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XEY6" s="114"/>
    </row>
    <row r="7" spans="1:54 16379:16379" ht="12.75">
      <c r="B7" s="96" t="s">
        <v>173</v>
      </c>
      <c r="C7" s="114">
        <v>0.4</v>
      </c>
      <c r="D7" s="114">
        <v>0.2</v>
      </c>
      <c r="E7" s="114">
        <v>0.15</v>
      </c>
      <c r="F7" s="114">
        <v>0.05</v>
      </c>
      <c r="G7" s="114">
        <v>0.01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</row>
    <row r="8" spans="1:54 16379:16379" s="124" customFormat="1" ht="7.5" customHeight="1">
      <c r="A8" s="123"/>
    </row>
    <row r="9" spans="1:54 16379:16379" ht="12.75">
      <c r="B9" s="96" t="s">
        <v>170</v>
      </c>
      <c r="C9" s="129">
        <v>5000000</v>
      </c>
      <c r="D9" s="98"/>
      <c r="E9" s="98"/>
      <c r="F9" s="98"/>
      <c r="G9" s="98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</row>
    <row r="10" spans="1:54 16379:16379" ht="12.75" hidden="1">
      <c r="B10" s="97"/>
      <c r="C10" s="98">
        <v>6</v>
      </c>
      <c r="D10" s="98">
        <v>12</v>
      </c>
      <c r="E10" s="98">
        <v>24</v>
      </c>
      <c r="F10" s="98">
        <v>48</v>
      </c>
      <c r="G10" s="98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</row>
    <row r="11" spans="1:54 16379:16379" ht="12.75">
      <c r="B11" s="96" t="s">
        <v>172</v>
      </c>
      <c r="C11" s="114">
        <v>0.7</v>
      </c>
      <c r="D11" s="114">
        <v>0.25</v>
      </c>
      <c r="E11" s="114">
        <v>0.2</v>
      </c>
      <c r="F11" s="114">
        <v>0.15</v>
      </c>
      <c r="G11" s="114">
        <v>0.1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</row>
    <row r="12" spans="1:54 16379:16379" ht="12.75">
      <c r="B12" s="96" t="s">
        <v>171</v>
      </c>
      <c r="C12" s="114">
        <v>-0.25</v>
      </c>
      <c r="D12" s="114">
        <v>-0.2</v>
      </c>
      <c r="E12" s="114">
        <v>-0.15</v>
      </c>
      <c r="F12" s="114">
        <v>-0.05</v>
      </c>
      <c r="G12" s="114">
        <v>-0.01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</row>
    <row r="13" spans="1:54 16379:16379" s="124" customFormat="1" ht="7.5" customHeight="1">
      <c r="A13" s="123"/>
    </row>
    <row r="14" spans="1:54 16379:16379" ht="12.75">
      <c r="B14" s="96" t="s">
        <v>170</v>
      </c>
      <c r="C14" s="129">
        <v>10000</v>
      </c>
      <c r="D14" s="98"/>
      <c r="E14" s="98"/>
      <c r="F14" s="98"/>
      <c r="G14" s="98"/>
      <c r="H14" s="98"/>
      <c r="I14" s="98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9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9"/>
    </row>
    <row r="15" spans="1:54 16379:16379" ht="12.75">
      <c r="B15" s="96" t="s">
        <v>169</v>
      </c>
      <c r="C15" s="100">
        <f>ROUNDUP(C14*0.1, 0)</f>
        <v>1000</v>
      </c>
      <c r="D15" s="98"/>
      <c r="E15" s="98"/>
      <c r="F15" s="98"/>
      <c r="G15" s="98"/>
      <c r="H15" s="98"/>
      <c r="I15" s="98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9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9"/>
    </row>
    <row r="16" spans="1:54 16379:16379" s="124" customFormat="1" ht="7.5" customHeight="1">
      <c r="A16" s="123"/>
    </row>
    <row r="17" spans="1:60" ht="12.75">
      <c r="B17" s="125" t="s">
        <v>168</v>
      </c>
      <c r="C17" s="138"/>
      <c r="D17" s="138"/>
      <c r="E17" s="138"/>
      <c r="F17" s="138"/>
      <c r="G17" s="138"/>
      <c r="H17" s="137"/>
      <c r="I17" s="137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</row>
    <row r="18" spans="1:60" ht="12.75" hidden="1">
      <c r="B18" s="96"/>
      <c r="C18" s="94">
        <v>6</v>
      </c>
      <c r="D18" s="94">
        <v>12</v>
      </c>
      <c r="E18" s="94">
        <v>24</v>
      </c>
      <c r="F18" s="94">
        <v>36</v>
      </c>
      <c r="G18" s="94">
        <v>48</v>
      </c>
      <c r="H18" s="94">
        <v>60</v>
      </c>
      <c r="I18" s="94" t="s">
        <v>167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9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9"/>
    </row>
    <row r="19" spans="1:60" ht="12.75">
      <c r="B19" s="96" t="s">
        <v>166</v>
      </c>
      <c r="C19" s="102">
        <v>0</v>
      </c>
      <c r="D19" s="102">
        <v>0</v>
      </c>
      <c r="E19" s="102">
        <v>1.5</v>
      </c>
      <c r="F19" s="102">
        <v>3.5</v>
      </c>
      <c r="G19" s="102">
        <v>7</v>
      </c>
      <c r="H19" s="102">
        <v>14</v>
      </c>
      <c r="I19" s="102">
        <v>26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9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9"/>
    </row>
    <row r="20" spans="1:60" ht="12.75">
      <c r="B20" s="96" t="s">
        <v>165</v>
      </c>
      <c r="C20" s="102">
        <f>C19/12</f>
        <v>0</v>
      </c>
      <c r="D20" s="102">
        <f>D19/12</f>
        <v>0</v>
      </c>
      <c r="E20" s="102">
        <f>E19/12</f>
        <v>0.125</v>
      </c>
      <c r="F20" s="102">
        <f>F19/12</f>
        <v>0.29166666666666669</v>
      </c>
      <c r="G20" s="102">
        <f>G19/12</f>
        <v>0.58333333333333337</v>
      </c>
      <c r="H20" s="102">
        <f>H19/12</f>
        <v>1.1666666666666667</v>
      </c>
      <c r="I20" s="102">
        <f>I19/12</f>
        <v>2.1666666666666665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9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9"/>
    </row>
    <row r="21" spans="1:60" s="124" customFormat="1" ht="7.5" customHeight="1">
      <c r="A21" s="123"/>
    </row>
    <row r="22" spans="1:60" ht="12.75">
      <c r="B22" s="136" t="s">
        <v>164</v>
      </c>
      <c r="C22" s="137"/>
      <c r="D22" s="135"/>
      <c r="E22" s="135"/>
      <c r="F22" s="135"/>
      <c r="G22" s="135"/>
      <c r="H22" s="98"/>
      <c r="I22" s="98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9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9"/>
    </row>
    <row r="23" spans="1:60" ht="12.75">
      <c r="B23" s="132" t="s">
        <v>163</v>
      </c>
      <c r="C23" s="103">
        <v>5</v>
      </c>
      <c r="D23" s="98"/>
      <c r="E23" s="98"/>
      <c r="F23" s="98"/>
      <c r="G23" s="98"/>
      <c r="H23" s="98"/>
      <c r="I23" s="98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9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9"/>
    </row>
    <row r="24" spans="1:60" ht="12.75">
      <c r="B24" s="132" t="s">
        <v>162</v>
      </c>
      <c r="C24" s="103">
        <v>5</v>
      </c>
      <c r="D24" s="98"/>
      <c r="E24" s="98"/>
      <c r="F24" s="98"/>
      <c r="G24" s="98"/>
      <c r="H24" s="98"/>
      <c r="I24" s="98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9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9"/>
    </row>
    <row r="25" spans="1:60" ht="12.75">
      <c r="B25" s="132" t="s">
        <v>161</v>
      </c>
      <c r="C25" s="103">
        <f>2</f>
        <v>2</v>
      </c>
      <c r="D25" s="98"/>
      <c r="E25" s="98"/>
      <c r="F25" s="98"/>
      <c r="G25" s="98"/>
      <c r="H25" s="98"/>
      <c r="I25" s="98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9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9"/>
    </row>
    <row r="26" spans="1:60" ht="12.75">
      <c r="B26" s="132" t="s">
        <v>160</v>
      </c>
      <c r="C26" s="103">
        <f>C23*C24*C25</f>
        <v>50</v>
      </c>
      <c r="D26" s="98"/>
      <c r="E26" s="98"/>
      <c r="F26" s="98"/>
      <c r="G26" s="98"/>
      <c r="H26" s="98"/>
      <c r="I26" s="98"/>
      <c r="J26" s="95"/>
      <c r="K26" s="95"/>
      <c r="L26" s="95"/>
      <c r="M26" s="95"/>
      <c r="N26" s="95"/>
      <c r="O26" s="95"/>
      <c r="P26" s="95"/>
      <c r="Q26" s="98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9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9"/>
    </row>
    <row r="27" spans="1:60" s="124" customFormat="1" ht="7.5" customHeight="1">
      <c r="A27" s="123"/>
    </row>
    <row r="28" spans="1:60" ht="12.75">
      <c r="B28" s="133" t="s">
        <v>126</v>
      </c>
      <c r="C28" s="139" t="s">
        <v>159</v>
      </c>
      <c r="D28" s="134" t="s">
        <v>158</v>
      </c>
      <c r="F28" s="98"/>
      <c r="G28" s="98"/>
      <c r="H28" s="98"/>
      <c r="I28" s="98"/>
      <c r="J28" s="95"/>
      <c r="K28" s="95"/>
      <c r="L28" s="95"/>
      <c r="M28" s="95"/>
      <c r="N28" s="95"/>
      <c r="O28" s="95"/>
      <c r="P28" s="95"/>
      <c r="Q28" s="98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9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9"/>
    </row>
    <row r="29" spans="1:60" ht="12.75">
      <c r="B29" s="132" t="s">
        <v>157</v>
      </c>
      <c r="C29" s="119">
        <v>10000</v>
      </c>
      <c r="D29" s="105">
        <v>0.25</v>
      </c>
      <c r="F29" s="98"/>
      <c r="G29" s="98"/>
      <c r="H29" s="98"/>
      <c r="I29" s="98"/>
      <c r="J29" s="95"/>
      <c r="K29" s="95"/>
      <c r="L29" s="95"/>
      <c r="M29" s="95"/>
      <c r="N29" s="95"/>
      <c r="O29" s="95"/>
      <c r="P29" s="95"/>
      <c r="Q29" s="98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9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9"/>
    </row>
    <row r="30" spans="1:60" ht="12.75">
      <c r="B30" s="132" t="s">
        <v>156</v>
      </c>
      <c r="C30" s="119">
        <v>40000</v>
      </c>
      <c r="D30" s="105">
        <v>0.11</v>
      </c>
      <c r="E30" s="98"/>
      <c r="F30" s="98"/>
      <c r="G30" s="98"/>
      <c r="H30" s="98"/>
      <c r="I30" s="98"/>
      <c r="J30" s="95"/>
      <c r="K30" s="95"/>
      <c r="L30" s="95"/>
      <c r="M30" s="95"/>
      <c r="N30" s="95"/>
      <c r="O30" s="95"/>
      <c r="P30" s="95"/>
      <c r="Q30" s="98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9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9"/>
    </row>
    <row r="31" spans="1:60" ht="12.75">
      <c r="B31" s="132" t="s">
        <v>155</v>
      </c>
      <c r="C31" s="119">
        <v>160000</v>
      </c>
      <c r="D31" s="105">
        <v>5.5E-2</v>
      </c>
      <c r="E31" s="98"/>
      <c r="F31" s="98"/>
      <c r="G31" s="98"/>
      <c r="H31" s="98"/>
      <c r="I31" s="98"/>
      <c r="J31" s="95"/>
      <c r="K31" s="95"/>
      <c r="L31" s="95"/>
      <c r="M31" s="95"/>
      <c r="N31" s="95"/>
      <c r="O31" s="95"/>
      <c r="P31" s="95"/>
      <c r="Q31" s="98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9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9"/>
    </row>
    <row r="32" spans="1:60" ht="12.75">
      <c r="B32" s="132" t="s">
        <v>154</v>
      </c>
      <c r="C32" s="119">
        <v>640000</v>
      </c>
      <c r="D32" s="105">
        <v>0.03</v>
      </c>
      <c r="E32" s="98"/>
      <c r="F32" s="98"/>
      <c r="G32" s="98"/>
      <c r="H32" s="98"/>
      <c r="I32" s="98"/>
      <c r="J32" s="95"/>
      <c r="K32" s="95"/>
      <c r="L32" s="95"/>
      <c r="M32" s="95"/>
      <c r="N32" s="95"/>
      <c r="O32" s="95"/>
      <c r="P32" s="95"/>
      <c r="Q32" s="98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9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9"/>
    </row>
    <row r="33" spans="1:70" ht="12.75">
      <c r="B33" s="132" t="s">
        <v>153</v>
      </c>
      <c r="C33" s="119">
        <v>2560000</v>
      </c>
      <c r="D33" s="105">
        <v>1.4999999999999999E-2</v>
      </c>
      <c r="E33" s="98"/>
      <c r="F33" s="98"/>
      <c r="G33" s="98"/>
      <c r="H33" s="98"/>
      <c r="I33" s="98"/>
      <c r="J33" s="95"/>
      <c r="K33" s="95"/>
      <c r="L33" s="95"/>
      <c r="M33" s="95"/>
      <c r="N33" s="95"/>
      <c r="O33" s="95"/>
      <c r="P33" s="95"/>
      <c r="Q33" s="98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9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9"/>
    </row>
    <row r="34" spans="1:70" ht="12.75">
      <c r="B34" s="132" t="s">
        <v>152</v>
      </c>
      <c r="C34" s="119">
        <v>10240000</v>
      </c>
      <c r="D34" s="105">
        <v>0.01</v>
      </c>
      <c r="E34" s="98"/>
      <c r="F34" s="98"/>
      <c r="G34" s="98"/>
      <c r="H34" s="98"/>
      <c r="I34" s="98"/>
      <c r="J34" s="95"/>
      <c r="K34" s="95"/>
      <c r="L34" s="95"/>
      <c r="M34" s="95"/>
      <c r="N34" s="95"/>
      <c r="O34" s="95"/>
      <c r="P34" s="95"/>
      <c r="Q34" s="98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9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9"/>
    </row>
    <row r="35" spans="1:70" ht="12.75">
      <c r="B35" s="132" t="s">
        <v>151</v>
      </c>
      <c r="C35" s="119"/>
      <c r="D35" s="105">
        <v>6.0000000000000001E-3</v>
      </c>
      <c r="E35" s="98"/>
      <c r="F35" s="98"/>
      <c r="G35" s="98"/>
      <c r="H35" s="98"/>
      <c r="I35" s="98"/>
      <c r="J35" s="95"/>
      <c r="K35" s="95"/>
      <c r="L35" s="95"/>
      <c r="M35" s="95"/>
      <c r="N35" s="95"/>
      <c r="O35" s="95"/>
      <c r="P35" s="95"/>
      <c r="Q35" s="98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9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9"/>
    </row>
    <row r="36" spans="1:70" s="124" customFormat="1" ht="7.5" customHeight="1">
      <c r="A36" s="123"/>
    </row>
    <row r="37" spans="1:70" ht="12.75">
      <c r="B37" s="132" t="s">
        <v>150</v>
      </c>
      <c r="C37" s="103">
        <v>0.05</v>
      </c>
      <c r="D37" s="105"/>
      <c r="E37" s="98"/>
      <c r="F37" s="98"/>
      <c r="G37" s="98"/>
      <c r="H37" s="98"/>
      <c r="I37" s="98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9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9"/>
    </row>
    <row r="38" spans="1:70" s="124" customFormat="1" ht="7.5" customHeight="1">
      <c r="A38" s="123"/>
    </row>
    <row r="39" spans="1:70" ht="12.75">
      <c r="B39" s="125" t="s">
        <v>149</v>
      </c>
      <c r="C39" s="140"/>
      <c r="D39" s="140"/>
      <c r="E39" s="140"/>
      <c r="F39" s="140"/>
      <c r="G39" s="140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70" ht="12.75">
      <c r="B40" s="98" t="s">
        <v>148</v>
      </c>
      <c r="C40" s="101">
        <v>0.5</v>
      </c>
      <c r="D40" s="101">
        <v>0.25</v>
      </c>
      <c r="E40" s="101">
        <v>0.1</v>
      </c>
      <c r="F40" s="101">
        <v>0.1</v>
      </c>
      <c r="G40" s="101">
        <v>0.2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70" ht="12.75">
      <c r="B41" s="98" t="s">
        <v>147</v>
      </c>
      <c r="C41" s="116">
        <v>5</v>
      </c>
      <c r="D41" s="116">
        <v>5</v>
      </c>
      <c r="E41" s="116">
        <v>5</v>
      </c>
      <c r="F41" s="116">
        <v>5</v>
      </c>
      <c r="G41" s="116">
        <v>5</v>
      </c>
      <c r="H41" s="115"/>
      <c r="I41" s="115"/>
      <c r="J41" s="117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3"/>
    </row>
    <row r="42" spans="1:70" s="124" customFormat="1" ht="7.5" customHeight="1">
      <c r="A42" s="123"/>
    </row>
    <row r="43" spans="1:70" ht="12.75">
      <c r="B43" s="98" t="s">
        <v>146</v>
      </c>
      <c r="C43" s="118">
        <v>0.2</v>
      </c>
      <c r="D43" s="118">
        <v>0.2</v>
      </c>
      <c r="E43" s="118">
        <v>0.2</v>
      </c>
      <c r="F43" s="118">
        <v>0.1</v>
      </c>
      <c r="G43" s="118">
        <v>0.1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70" ht="12.75">
      <c r="B44" s="98" t="s">
        <v>145</v>
      </c>
      <c r="C44" s="119">
        <v>10</v>
      </c>
      <c r="D44" s="119">
        <v>10</v>
      </c>
      <c r="E44" s="119">
        <v>20</v>
      </c>
      <c r="F44" s="119">
        <v>20</v>
      </c>
      <c r="G44" s="119">
        <v>30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70" ht="12.75">
      <c r="B45" s="98" t="s">
        <v>144</v>
      </c>
      <c r="C45" s="120">
        <v>1000</v>
      </c>
      <c r="D45" s="120">
        <v>1000</v>
      </c>
      <c r="E45" s="120">
        <v>1000</v>
      </c>
      <c r="F45" s="120">
        <v>1000</v>
      </c>
      <c r="G45" s="120">
        <v>1000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70" ht="12.75">
      <c r="B46" s="98" t="s">
        <v>143</v>
      </c>
      <c r="C46" s="118">
        <v>0.08</v>
      </c>
      <c r="D46" s="118">
        <v>0.08</v>
      </c>
      <c r="E46" s="118">
        <v>0.08</v>
      </c>
      <c r="F46" s="118">
        <v>0.08</v>
      </c>
      <c r="G46" s="118">
        <v>0.08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70" ht="12.75">
      <c r="B47" s="97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70" ht="12.75">
      <c r="B48" s="126" t="s">
        <v>183</v>
      </c>
      <c r="C48" s="141">
        <v>1</v>
      </c>
      <c r="D48" s="141">
        <f>C48+1</f>
        <v>2</v>
      </c>
      <c r="E48" s="141">
        <f t="shared" ref="E48:BP48" si="0">D48+1</f>
        <v>3</v>
      </c>
      <c r="F48" s="141">
        <f t="shared" si="0"/>
        <v>4</v>
      </c>
      <c r="G48" s="141">
        <f t="shared" si="0"/>
        <v>5</v>
      </c>
      <c r="H48" s="141">
        <f t="shared" si="0"/>
        <v>6</v>
      </c>
      <c r="I48" s="141">
        <f t="shared" si="0"/>
        <v>7</v>
      </c>
      <c r="J48" s="141">
        <f t="shared" si="0"/>
        <v>8</v>
      </c>
      <c r="K48" s="141">
        <f t="shared" si="0"/>
        <v>9</v>
      </c>
      <c r="L48" s="141">
        <f t="shared" si="0"/>
        <v>10</v>
      </c>
      <c r="M48" s="141">
        <f t="shared" si="0"/>
        <v>11</v>
      </c>
      <c r="N48" s="141">
        <f t="shared" si="0"/>
        <v>12</v>
      </c>
      <c r="O48" s="141">
        <f t="shared" si="0"/>
        <v>13</v>
      </c>
      <c r="P48" s="141">
        <f t="shared" si="0"/>
        <v>14</v>
      </c>
      <c r="Q48" s="141">
        <f t="shared" si="0"/>
        <v>15</v>
      </c>
      <c r="R48" s="141">
        <f t="shared" si="0"/>
        <v>16</v>
      </c>
      <c r="S48" s="141">
        <f t="shared" si="0"/>
        <v>17</v>
      </c>
      <c r="T48" s="141">
        <f t="shared" si="0"/>
        <v>18</v>
      </c>
      <c r="U48" s="141">
        <f t="shared" si="0"/>
        <v>19</v>
      </c>
      <c r="V48" s="141">
        <f t="shared" si="0"/>
        <v>20</v>
      </c>
      <c r="W48" s="141">
        <f t="shared" si="0"/>
        <v>21</v>
      </c>
      <c r="X48" s="141">
        <f t="shared" si="0"/>
        <v>22</v>
      </c>
      <c r="Y48" s="141">
        <f t="shared" si="0"/>
        <v>23</v>
      </c>
      <c r="Z48" s="141">
        <f t="shared" si="0"/>
        <v>24</v>
      </c>
      <c r="AA48" s="141">
        <f t="shared" si="0"/>
        <v>25</v>
      </c>
      <c r="AB48" s="141">
        <f t="shared" si="0"/>
        <v>26</v>
      </c>
      <c r="AC48" s="141">
        <f t="shared" si="0"/>
        <v>27</v>
      </c>
      <c r="AD48" s="141">
        <f t="shared" si="0"/>
        <v>28</v>
      </c>
      <c r="AE48" s="141">
        <f t="shared" si="0"/>
        <v>29</v>
      </c>
      <c r="AF48" s="141">
        <f t="shared" si="0"/>
        <v>30</v>
      </c>
      <c r="AG48" s="141">
        <f t="shared" si="0"/>
        <v>31</v>
      </c>
      <c r="AH48" s="141">
        <f t="shared" si="0"/>
        <v>32</v>
      </c>
      <c r="AI48" s="141">
        <f t="shared" si="0"/>
        <v>33</v>
      </c>
      <c r="AJ48" s="141">
        <f t="shared" si="0"/>
        <v>34</v>
      </c>
      <c r="AK48" s="141">
        <f t="shared" si="0"/>
        <v>35</v>
      </c>
      <c r="AL48" s="141">
        <f t="shared" si="0"/>
        <v>36</v>
      </c>
      <c r="AM48" s="141">
        <f t="shared" si="0"/>
        <v>37</v>
      </c>
      <c r="AN48" s="141">
        <f t="shared" si="0"/>
        <v>38</v>
      </c>
      <c r="AO48" s="141">
        <f t="shared" si="0"/>
        <v>39</v>
      </c>
      <c r="AP48" s="141">
        <f t="shared" si="0"/>
        <v>40</v>
      </c>
      <c r="AQ48" s="141">
        <f t="shared" si="0"/>
        <v>41</v>
      </c>
      <c r="AR48" s="141">
        <f t="shared" si="0"/>
        <v>42</v>
      </c>
      <c r="AS48" s="141">
        <f t="shared" si="0"/>
        <v>43</v>
      </c>
      <c r="AT48" s="141">
        <f t="shared" si="0"/>
        <v>44</v>
      </c>
      <c r="AU48" s="141">
        <f t="shared" si="0"/>
        <v>45</v>
      </c>
      <c r="AV48" s="141">
        <f t="shared" si="0"/>
        <v>46</v>
      </c>
      <c r="AW48" s="141">
        <f t="shared" si="0"/>
        <v>47</v>
      </c>
      <c r="AX48" s="141">
        <f t="shared" si="0"/>
        <v>48</v>
      </c>
      <c r="AY48" s="141">
        <f t="shared" si="0"/>
        <v>49</v>
      </c>
      <c r="AZ48" s="141">
        <f t="shared" si="0"/>
        <v>50</v>
      </c>
      <c r="BA48" s="141">
        <f t="shared" si="0"/>
        <v>51</v>
      </c>
      <c r="BB48" s="141">
        <f t="shared" si="0"/>
        <v>52</v>
      </c>
      <c r="BC48" s="141">
        <f t="shared" si="0"/>
        <v>53</v>
      </c>
      <c r="BD48" s="141">
        <f t="shared" si="0"/>
        <v>54</v>
      </c>
      <c r="BE48" s="141">
        <f t="shared" si="0"/>
        <v>55</v>
      </c>
      <c r="BF48" s="141">
        <f t="shared" si="0"/>
        <v>56</v>
      </c>
      <c r="BG48" s="141">
        <f t="shared" si="0"/>
        <v>57</v>
      </c>
      <c r="BH48" s="141">
        <f t="shared" si="0"/>
        <v>58</v>
      </c>
      <c r="BI48" s="141">
        <f t="shared" si="0"/>
        <v>59</v>
      </c>
      <c r="BJ48" s="141">
        <f t="shared" si="0"/>
        <v>60</v>
      </c>
      <c r="BK48" s="141">
        <f t="shared" si="0"/>
        <v>61</v>
      </c>
      <c r="BL48" s="141">
        <f t="shared" si="0"/>
        <v>62</v>
      </c>
      <c r="BM48" s="141">
        <f t="shared" si="0"/>
        <v>63</v>
      </c>
      <c r="BN48" s="141">
        <f t="shared" si="0"/>
        <v>64</v>
      </c>
      <c r="BO48" s="141">
        <f t="shared" si="0"/>
        <v>65</v>
      </c>
      <c r="BP48" s="141">
        <f t="shared" si="0"/>
        <v>66</v>
      </c>
      <c r="BQ48" s="141">
        <f t="shared" ref="BQ48:BR48" si="1">BP48+1</f>
        <v>67</v>
      </c>
      <c r="BR48" s="141">
        <f t="shared" si="1"/>
        <v>68</v>
      </c>
    </row>
    <row r="49" spans="1:70" s="124" customFormat="1" ht="7.5" customHeight="1">
      <c r="A49" s="123"/>
    </row>
    <row r="50" spans="1:70" s="98" customFormat="1" ht="12.75">
      <c r="B50" s="106" t="s">
        <v>142</v>
      </c>
      <c r="C50" s="107">
        <v>0</v>
      </c>
      <c r="D50" s="107">
        <v>1500</v>
      </c>
      <c r="E50" s="108">
        <f>D53</f>
        <v>1949.6849999999999</v>
      </c>
      <c r="F50" s="108">
        <f>E53</f>
        <v>2534.0583219761083</v>
      </c>
      <c r="G50" s="108">
        <f>F53</f>
        <v>3293.3768153478559</v>
      </c>
      <c r="H50" s="108">
        <f>G53</f>
        <v>4279.8713736335103</v>
      </c>
      <c r="I50" s="108">
        <f>H53</f>
        <v>4706.0267810993773</v>
      </c>
      <c r="J50" s="108">
        <f>I53</f>
        <v>6115.6201466227485</v>
      </c>
      <c r="K50" s="108">
        <f>J53</f>
        <v>7946.5661096317945</v>
      </c>
      <c r="L50" s="108">
        <f>K53</f>
        <v>10324.221151227857</v>
      </c>
      <c r="M50" s="108">
        <f>L53</f>
        <v>13410.828542358267</v>
      </c>
      <c r="N50" s="108">
        <f>M53</f>
        <v>17416.092072846495</v>
      </c>
      <c r="O50" s="108">
        <f>N53</f>
        <v>22610.587668391458</v>
      </c>
      <c r="P50" s="108">
        <f>O53</f>
        <v>24846.084501495101</v>
      </c>
      <c r="Q50" s="108">
        <f>P53</f>
        <v>27299.826555891839</v>
      </c>
      <c r="R50" s="108">
        <f>Q53</f>
        <v>29992.545184981936</v>
      </c>
      <c r="S50" s="108">
        <f>R53</f>
        <v>32946.822065146465</v>
      </c>
      <c r="T50" s="108">
        <f>S53</f>
        <v>36187.229617451492</v>
      </c>
      <c r="U50" s="108">
        <f>T53</f>
        <v>39740.476799827338</v>
      </c>
      <c r="V50" s="108">
        <f>U53</f>
        <v>43635.559204996192</v>
      </c>
      <c r="W50" s="108">
        <f>V53</f>
        <v>47903.912024139172</v>
      </c>
      <c r="X50" s="108">
        <f>W53</f>
        <v>52579.563987192261</v>
      </c>
      <c r="Y50" s="108">
        <f>X53</f>
        <v>57699.289858457327</v>
      </c>
      <c r="Z50" s="108">
        <f>Y53</f>
        <v>63302.758441794547</v>
      </c>
      <c r="AA50" s="108">
        <f>Z53</f>
        <v>69432.672324656989</v>
      </c>
      <c r="AB50" s="108">
        <f>AA53</f>
        <v>83078.161990281224</v>
      </c>
      <c r="AC50" s="108">
        <f>AB53</f>
        <v>99348.695338353311</v>
      </c>
      <c r="AD50" s="108">
        <f>AC53</f>
        <v>118724.92624275232</v>
      </c>
      <c r="AE50" s="108">
        <f>AD53</f>
        <v>141765.13108573545</v>
      </c>
      <c r="AF50" s="108">
        <f>AE53</f>
        <v>169113.28968329474</v>
      </c>
      <c r="AG50" s="108">
        <f>AF53</f>
        <v>201505.9823825784</v>
      </c>
      <c r="AH50" s="108">
        <f>AG53</f>
        <v>239776.94581229566</v>
      </c>
      <c r="AI50" s="108">
        <f>AH53</f>
        <v>284857.68578760116</v>
      </c>
      <c r="AJ50" s="108">
        <f>AI53</f>
        <v>337772.02788750804</v>
      </c>
      <c r="AK50" s="108">
        <f>AJ53</f>
        <v>399621.93632384768</v>
      </c>
      <c r="AL50" s="108">
        <f>AK53</f>
        <v>471561.43898905616</v>
      </c>
      <c r="AM50" s="108">
        <f>AL53</f>
        <v>554755.21724979591</v>
      </c>
      <c r="AN50" s="108">
        <f>AM53</f>
        <v>650318.59314646164</v>
      </c>
      <c r="AO50" s="108">
        <f>AN53</f>
        <v>759236.59814615431</v>
      </c>
      <c r="AP50" s="108">
        <f>AO53</f>
        <v>882261.90717715782</v>
      </c>
      <c r="AQ50" s="108">
        <f>AP53</f>
        <v>1019794.9849697957</v>
      </c>
      <c r="AR50" s="108">
        <f>AQ53</f>
        <v>1171754.8913952776</v>
      </c>
      <c r="AS50" s="108">
        <f>AR53</f>
        <v>1337455.3933988952</v>
      </c>
      <c r="AT50" s="108">
        <f>AS53</f>
        <v>1515507.1256120848</v>
      </c>
      <c r="AU50" s="108">
        <f>AT53</f>
        <v>1703770.4583454516</v>
      </c>
      <c r="AV50" s="108">
        <f>AU53</f>
        <v>1899382.8612780084</v>
      </c>
      <c r="AW50" s="108">
        <f>AV53</f>
        <v>2098876.6708477782</v>
      </c>
      <c r="AX50" s="108">
        <f>AW53</f>
        <v>2298387.8410458812</v>
      </c>
      <c r="AY50" s="108">
        <f>AX53</f>
        <v>2493936.0758616799</v>
      </c>
      <c r="AZ50" s="108">
        <f>AY53</f>
        <v>2781494.8765442655</v>
      </c>
      <c r="BA50" s="108">
        <f>AZ53</f>
        <v>3062217.9595027892</v>
      </c>
      <c r="BB50" s="108">
        <f>BA53</f>
        <v>3328291.3282083869</v>
      </c>
      <c r="BC50" s="108">
        <f>BB53</f>
        <v>3573205.0887070424</v>
      </c>
      <c r="BD50" s="108">
        <f>BC53</f>
        <v>3792384.5796986371</v>
      </c>
      <c r="BE50" s="108">
        <f>BD53</f>
        <v>3983447.8388095093</v>
      </c>
      <c r="BF50" s="108">
        <f>BE53</f>
        <v>4146082.4858979839</v>
      </c>
      <c r="BG50" s="108">
        <f>BF53</f>
        <v>4281642.2835199991</v>
      </c>
      <c r="BH50" s="108">
        <f>BG53</f>
        <v>4392613.3993634814</v>
      </c>
      <c r="BI50" s="108">
        <f>BH53</f>
        <v>4482087.9913973371</v>
      </c>
      <c r="BJ50" s="108">
        <f>BI53</f>
        <v>4553333.4712012867</v>
      </c>
      <c r="BK50" s="108">
        <f>BJ53</f>
        <v>4609491.219291498</v>
      </c>
      <c r="BL50" s="108">
        <f>BK53</f>
        <v>4653398.6468851864</v>
      </c>
      <c r="BM50" s="108">
        <f>BL53</f>
        <v>4687508.3737959871</v>
      </c>
      <c r="BN50" s="108">
        <f>BM53</f>
        <v>4713873.6457866486</v>
      </c>
      <c r="BO50" s="108">
        <f>BN53</f>
        <v>4734173.083353349</v>
      </c>
      <c r="BP50" s="108">
        <f>BO53</f>
        <v>4749754.8842007853</v>
      </c>
      <c r="BQ50" s="108">
        <f>BP53</f>
        <v>4761687.4834095128</v>
      </c>
      <c r="BR50" s="108">
        <f>BQ53</f>
        <v>4770809.0949448552</v>
      </c>
    </row>
    <row r="51" spans="1:70" s="98" customFormat="1" ht="12.75">
      <c r="B51" s="104" t="s">
        <v>141</v>
      </c>
      <c r="C51" s="109">
        <f>(C50*$C$6)*(($C$9-C50)/$C$9)</f>
        <v>0</v>
      </c>
      <c r="D51" s="109">
        <f>(D50*$C$6)*(($C$9-D50)/$C$9)</f>
        <v>1049.6849999999999</v>
      </c>
      <c r="E51" s="109">
        <f>(E50*$C$6)*(($C$9-E50)/$C$9)</f>
        <v>1364.2473219761084</v>
      </c>
      <c r="F51" s="109">
        <f>(F50*$C$6)*(($C$9-F50)/$C$9)</f>
        <v>1772.9418221621911</v>
      </c>
      <c r="G51" s="109">
        <f>(G50*$C$6)*(($C$9-G50)/$C$9)</f>
        <v>2303.8452844247972</v>
      </c>
      <c r="H51" s="109">
        <f>(H50*$D$6)*(($C$9-H50)/$C$9)</f>
        <v>2138.1039569192703</v>
      </c>
      <c r="I51" s="109">
        <f>(I50*$D$6)*(($C$9-I50)/$C$9)</f>
        <v>2350.7987217432465</v>
      </c>
      <c r="J51" s="109">
        <f>(J50*$D$6)*(($C$9-J50)/$C$9)</f>
        <v>3054.0699923335965</v>
      </c>
      <c r="K51" s="109">
        <f>(K50*$D$6)*(($C$9-K50)/$C$9)</f>
        <v>3966.9682635224221</v>
      </c>
      <c r="L51" s="109">
        <f>(L50*$D$6)*(($C$9-L50)/$C$9)</f>
        <v>5151.4516213759816</v>
      </c>
      <c r="M51" s="109">
        <f>(M50*$D$6)*(($C$9-M50)/$C$9)</f>
        <v>6687.4292389598804</v>
      </c>
      <c r="N51" s="109">
        <f>(N50*$D$6)*(($C$9-N50)/$C$9)</f>
        <v>8677.7140101142613</v>
      </c>
      <c r="O51" s="109">
        <f>(O50*$E$6)*(($C$9-O50)/$C$9)</f>
        <v>5627.0849833623633</v>
      </c>
      <c r="P51" s="109">
        <f>(P50*$E$6)*(($C$9-P50)/$C$9)</f>
        <v>6180.6547296210038</v>
      </c>
      <c r="Q51" s="109">
        <f>(Q50*$E$6)*(($C$9-Q50)/$C$9)</f>
        <v>6787.6926124738702</v>
      </c>
      <c r="R51" s="109">
        <f>(R50*$E$6)*(($C$9-R50)/$C$9)</f>
        <v>7453.1586579118248</v>
      </c>
      <c r="S51" s="109">
        <f>(S50*$E$6)*(($C$9-S50)/$C$9)</f>
        <v>8182.4308620769943</v>
      </c>
      <c r="T51" s="109">
        <f>(T50*$E$6)*(($C$9-T50)/$C$9)</f>
        <v>8981.3316249935651</v>
      </c>
      <c r="U51" s="109">
        <f>(U50*$E$6)*(($C$9-U50)/$C$9)</f>
        <v>9856.1539251429549</v>
      </c>
      <c r="V51" s="109">
        <f>(V50*$E$6)*(($C$9-V50)/$C$9)</f>
        <v>10813.686699892411</v>
      </c>
      <c r="W51" s="109">
        <f>(W50*$E$6)*(($C$9-W50)/$C$9)</f>
        <v>11861.238766673969</v>
      </c>
      <c r="X51" s="109">
        <f>(X50*$E$6)*(($C$9-X50)/$C$9)</f>
        <v>13006.660469343902</v>
      </c>
      <c r="Y51" s="109">
        <f>(Y50*$E$6)*(($C$9-Y50)/$C$9)</f>
        <v>14258.362062105816</v>
      </c>
      <c r="Z51" s="109">
        <f>(Z50*$E$6)*(($C$9-Z50)/$C$9)</f>
        <v>15625.327649131628</v>
      </c>
      <c r="AA51" s="109">
        <f>(AA50*$E$6)*(($C$9-AA50)/$C$9)</f>
        <v>17117.123281857086</v>
      </c>
      <c r="AB51" s="109">
        <f>(AB50*$E$6)*(($C$9-AB50)/$C$9)</f>
        <v>20424.441447586138</v>
      </c>
      <c r="AC51" s="109">
        <f>(AC50*$E$6)*(($C$9-AC50)/$C$9)</f>
        <v>24343.665671316678</v>
      </c>
      <c r="AD51" s="109">
        <f>(AD50*$E$6)*(($C$9-AD50)/$C$9)</f>
        <v>28976.451155120732</v>
      </c>
      <c r="AE51" s="109">
        <f>(AE50*$E$6)*(($C$9-AE50)/$C$9)</f>
        <v>34436.415151846071</v>
      </c>
      <c r="AF51" s="109">
        <f>(AF50*$E$6)*(($C$9-AF50)/$C$9)</f>
        <v>40848.357183448388</v>
      </c>
      <c r="AG51" s="109">
        <f>(AG50*$E$6)*(($C$9-AG50)/$C$9)</f>
        <v>48346.262548846193</v>
      </c>
      <c r="AH51" s="109">
        <f>(AH50*$E$6)*(($C$9-AH50)/$C$9)</f>
        <v>57069.58726592028</v>
      </c>
      <c r="AI51" s="109">
        <f>(AI50*$E$6)*(($C$9-AI50)/$C$9)</f>
        <v>67157.226389286909</v>
      </c>
      <c r="AJ51" s="109">
        <f>(AJ50*$E$6)*(($C$9-AJ50)/$C$9)</f>
        <v>78738.509830715033</v>
      </c>
      <c r="AK51" s="109">
        <f>(AK50*$E$6)*(($C$9-AK50)/$C$9)</f>
        <v>91920.599481400859</v>
      </c>
      <c r="AL51" s="109">
        <f>(AL50*$E$6)*(($C$9-AL50)/$C$9)</f>
        <v>106771.85021019257</v>
      </c>
      <c r="AM51" s="109">
        <f>(AM50*$E$6)*(($C$9-AM50)/$C$9)</f>
        <v>123301.13675915556</v>
      </c>
      <c r="AN51" s="109">
        <f>(AN50*$E$6)*(($C$9-AN50)/$C$9)</f>
        <v>141433.93465701575</v>
      </c>
      <c r="AO51" s="109">
        <f>(AO50*$E$6)*(($C$9-AO50)/$C$9)</f>
        <v>160987.13893831131</v>
      </c>
      <c r="AP51" s="109">
        <f>(AP50*$E$6)*(($C$9-AP50)/$C$9)</f>
        <v>181646.17315149566</v>
      </c>
      <c r="AQ51" s="109">
        <f>(AQ50*$E$6)*(($C$9-AQ50)/$C$9)</f>
        <v>202949.65567397163</v>
      </c>
      <c r="AR51" s="109">
        <f>(AR50*$E$6)*(($C$9-AR50)/$C$9)</f>
        <v>224288.24657338148</v>
      </c>
      <c r="AS51" s="109">
        <f>(AS50*$E$6)*(($C$9-AS50)/$C$9)</f>
        <v>244924.50188313416</v>
      </c>
      <c r="AT51" s="109">
        <f>(AT50*$E$6)*(($C$9-AT50)/$C$9)</f>
        <v>264038.68901397102</v>
      </c>
      <c r="AU51" s="109">
        <f>(AU50*$E$6)*(($C$9-AU50)/$C$9)</f>
        <v>280800.92584982939</v>
      </c>
      <c r="AV51" s="109">
        <f>(AV50*$E$6)*(($C$9-AV50)/$C$9)</f>
        <v>294462.95263367036</v>
      </c>
      <c r="AW51" s="109">
        <f>(AW50*$E$6)*(($C$9-AW50)/$C$9)</f>
        <v>304455.00374049193</v>
      </c>
      <c r="AX51" s="109">
        <f>(AX50*$E$6)*(($C$9-AX50)/$C$9)</f>
        <v>310467.62686809292</v>
      </c>
      <c r="AY51" s="109">
        <f>(AY50*$E$6)*(($C$9-AY50)/$C$9)</f>
        <v>312498.16144120228</v>
      </c>
      <c r="AZ51" s="109">
        <f>(AZ50*$E$6)*(($C$9-AZ50)/$C$9)</f>
        <v>308538.03172396647</v>
      </c>
      <c r="BA51" s="109">
        <f>(BA50*$E$6)*(($C$9-BA50)/$C$9)</f>
        <v>296695.54830062599</v>
      </c>
      <c r="BB51" s="109">
        <f>(BB50*$E$6)*(($C$9-BB50)/$C$9)</f>
        <v>278196.67378073931</v>
      </c>
      <c r="BC51" s="109">
        <f>(BC50*$E$6)*(($C$9-BC50)/$C$9)</f>
        <v>254911.54187866545</v>
      </c>
      <c r="BD51" s="109">
        <f>(BD50*$E$6)*(($C$9-BD50)/$C$9)</f>
        <v>228987.10490785885</v>
      </c>
      <c r="BE51" s="109">
        <f>(BE50*$E$6)*(($C$9-BE50)/$C$9)</f>
        <v>202469.12547656981</v>
      </c>
      <c r="BF51" s="109">
        <f>(BF50*$E$6)*(($C$9-BF50)/$C$9)</f>
        <v>177020.62248099569</v>
      </c>
      <c r="BG51" s="109">
        <f>(BG50*$E$6)*(($C$9-BG50)/$C$9)</f>
        <v>153787.53867868215</v>
      </c>
      <c r="BH51" s="109">
        <f>(BH50*$E$6)*(($C$9-BH50)/$C$9)</f>
        <v>133400.72602749034</v>
      </c>
      <c r="BI51" s="109">
        <f>(BI50*$E$6)*(($C$9-BI50)/$C$9)</f>
        <v>116066.35971792349</v>
      </c>
      <c r="BJ51" s="109">
        <f>(BJ50*$E$6)*(($C$9-BJ50)/$C$9)</f>
        <v>101691.08280222375</v>
      </c>
      <c r="BK51" s="109">
        <f>(BK50*$E$6)*(($C$9-BK50)/$C$9)</f>
        <v>90002.339786603465</v>
      </c>
      <c r="BL51" s="109">
        <f>(BL50*$E$6)*(($C$9-BL50)/$C$9)</f>
        <v>80643.713379652399</v>
      </c>
      <c r="BM51" s="109">
        <f>(BM50*$E$6)*(($C$9-BM50)/$C$9)</f>
        <v>73240.355728621798</v>
      </c>
      <c r="BN51" s="109">
        <f>(BN50*$E$6)*(($C$9-BN50)/$C$9)</f>
        <v>67438.17402456663</v>
      </c>
      <c r="BO51" s="109">
        <f>(BO50*$E$6)*(($C$9-BO50)/$C$9)</f>
        <v>62923.53168096947</v>
      </c>
      <c r="BP51" s="109">
        <f>(BP50*$E$6)*(($C$9-BP50)/$C$9)</f>
        <v>59430.148050735552</v>
      </c>
      <c r="BQ51" s="109">
        <f>(BQ50*$E$6)*(($C$9-BQ50)/$C$9)</f>
        <v>56738.48636943724</v>
      </c>
      <c r="BR51" s="109">
        <f>(BR50*$E$6)*(($C$9-BR50)/$C$9)</f>
        <v>54671.302715786383</v>
      </c>
    </row>
    <row r="52" spans="1:70" s="98" customFormat="1" ht="12.75">
      <c r="B52" s="142" t="s">
        <v>140</v>
      </c>
      <c r="C52" s="143">
        <f>C50*-$C$7</f>
        <v>0</v>
      </c>
      <c r="D52" s="143">
        <f>D50*-$C$7</f>
        <v>-600</v>
      </c>
      <c r="E52" s="143">
        <f>E50*-$C$7</f>
        <v>-779.87400000000002</v>
      </c>
      <c r="F52" s="143">
        <f>F50*-$C$7</f>
        <v>-1013.6233287904433</v>
      </c>
      <c r="G52" s="143">
        <f>G50*-$C$7</f>
        <v>-1317.3507261391424</v>
      </c>
      <c r="H52" s="143">
        <f>H50*-$C$7</f>
        <v>-1711.9485494534042</v>
      </c>
      <c r="I52" s="143">
        <f>I50*-$D$7</f>
        <v>-941.20535621987551</v>
      </c>
      <c r="J52" s="143">
        <f>J50*-$D$7</f>
        <v>-1223.1240293245498</v>
      </c>
      <c r="K52" s="143">
        <f>K50*-$D$7</f>
        <v>-1589.3132219263589</v>
      </c>
      <c r="L52" s="143">
        <f>L50*-$D$7</f>
        <v>-2064.8442302455715</v>
      </c>
      <c r="M52" s="143">
        <f>-M50*$D$7</f>
        <v>-2682.1657084716535</v>
      </c>
      <c r="N52" s="143">
        <f>-N50*$D$7</f>
        <v>-3483.2184145692991</v>
      </c>
      <c r="O52" s="143">
        <f>-O50*$E$7</f>
        <v>-3391.5881502587185</v>
      </c>
      <c r="P52" s="143">
        <f>-P50*$E$7</f>
        <v>-3726.9126752242651</v>
      </c>
      <c r="Q52" s="143">
        <f>-Q50*$E$7</f>
        <v>-4094.9739833837757</v>
      </c>
      <c r="R52" s="143">
        <f>-R50*$E$7</f>
        <v>-4498.8817777472905</v>
      </c>
      <c r="S52" s="143">
        <f>-S50*$E$7</f>
        <v>-4942.0233097719693</v>
      </c>
      <c r="T52" s="143">
        <f>-T50*$E$7</f>
        <v>-5428.0844426177237</v>
      </c>
      <c r="U52" s="143">
        <f>-U50*$E$7</f>
        <v>-5961.0715199741007</v>
      </c>
      <c r="V52" s="143">
        <f>-V50*$E$7</f>
        <v>-6545.3338807494283</v>
      </c>
      <c r="W52" s="143">
        <f>-W50*$E$7</f>
        <v>-7185.5868036208758</v>
      </c>
      <c r="X52" s="143">
        <f>-X50*$E$7</f>
        <v>-7886.9345980788385</v>
      </c>
      <c r="Y52" s="143">
        <f>-Y50*$E$7</f>
        <v>-8654.8934787685994</v>
      </c>
      <c r="Z52" s="143">
        <f>-Z50*$E$7</f>
        <v>-9495.413766269181</v>
      </c>
      <c r="AA52" s="143">
        <f>-AA50*$F$7</f>
        <v>-3471.6336162328498</v>
      </c>
      <c r="AB52" s="143">
        <f>-AB50*$F$7</f>
        <v>-4153.9080995140612</v>
      </c>
      <c r="AC52" s="143">
        <f>-AC50*$F$7</f>
        <v>-4967.4347669176659</v>
      </c>
      <c r="AD52" s="143">
        <f>-AD50*$F$7</f>
        <v>-5936.2463121376168</v>
      </c>
      <c r="AE52" s="143">
        <f>-AE50*$F$7</f>
        <v>-7088.2565542867733</v>
      </c>
      <c r="AF52" s="143">
        <f>-AF50*$F$7</f>
        <v>-8455.6644841647376</v>
      </c>
      <c r="AG52" s="143">
        <f>-AG50*$F$7</f>
        <v>-10075.29911912892</v>
      </c>
      <c r="AH52" s="143">
        <f>-AH50*$F$7</f>
        <v>-11988.847290614784</v>
      </c>
      <c r="AI52" s="143">
        <f>-AI50*$F$7</f>
        <v>-14242.884289380059</v>
      </c>
      <c r="AJ52" s="143">
        <f>-AJ50*$F$7</f>
        <v>-16888.601394375404</v>
      </c>
      <c r="AK52" s="143">
        <f>-AK50*$F$7</f>
        <v>-19981.096816192385</v>
      </c>
      <c r="AL52" s="143">
        <f>-AL50*$F$7</f>
        <v>-23578.071949452809</v>
      </c>
      <c r="AM52" s="143">
        <f>-AM50*$F$7</f>
        <v>-27737.760862489798</v>
      </c>
      <c r="AN52" s="143">
        <f>-AN50*$F$7</f>
        <v>-32515.929657323082</v>
      </c>
      <c r="AO52" s="143">
        <f>-AO50*$F$7</f>
        <v>-37961.829907307714</v>
      </c>
      <c r="AP52" s="143">
        <f>-AP50*$F$7</f>
        <v>-44113.095358857892</v>
      </c>
      <c r="AQ52" s="143">
        <f>-AQ50*$F$7</f>
        <v>-50989.749248489788</v>
      </c>
      <c r="AR52" s="143">
        <f>-AR50*$F$7</f>
        <v>-58587.744569763883</v>
      </c>
      <c r="AS52" s="143">
        <f>-AS50*$F$7</f>
        <v>-66872.769669944755</v>
      </c>
      <c r="AT52" s="143">
        <f>-AT50*$F$7</f>
        <v>-75775.356280604246</v>
      </c>
      <c r="AU52" s="143">
        <f>-AU50*$F$7</f>
        <v>-85188.522917272581</v>
      </c>
      <c r="AV52" s="143">
        <f>-AV50*$F$7</f>
        <v>-94969.143063900425</v>
      </c>
      <c r="AW52" s="143">
        <f>-AW50*$F$7</f>
        <v>-104943.83354238892</v>
      </c>
      <c r="AX52" s="143">
        <f>-AX50*$F$7</f>
        <v>-114919.39205229406</v>
      </c>
      <c r="AY52" s="143">
        <f>-AY50*$G$7</f>
        <v>-24939.3607586168</v>
      </c>
      <c r="AZ52" s="143">
        <f>-AZ50*$G$7</f>
        <v>-27814.948765442656</v>
      </c>
      <c r="BA52" s="143">
        <f>-BA50*$G$7</f>
        <v>-30622.179595027894</v>
      </c>
      <c r="BB52" s="143">
        <f>-BB50*$G$7</f>
        <v>-33282.913282083871</v>
      </c>
      <c r="BC52" s="143">
        <f>-BC50*$G$7</f>
        <v>-35732.050887070422</v>
      </c>
      <c r="BD52" s="143">
        <f>-BD50*$G$7</f>
        <v>-37923.845796986374</v>
      </c>
      <c r="BE52" s="143">
        <f>-BE50*$G$7</f>
        <v>-39834.478388095093</v>
      </c>
      <c r="BF52" s="143">
        <f>-BF50*$G$7</f>
        <v>-41460.824858979839</v>
      </c>
      <c r="BG52" s="143">
        <f>-BG50*$G$7</f>
        <v>-42816.422835199992</v>
      </c>
      <c r="BH52" s="143">
        <f>-BH50*$G$7</f>
        <v>-43926.133993634816</v>
      </c>
      <c r="BI52" s="143">
        <f>-BI50*$G$7</f>
        <v>-44820.879913973375</v>
      </c>
      <c r="BJ52" s="143">
        <f>-BJ50*$G$7</f>
        <v>-45533.334712012867</v>
      </c>
      <c r="BK52" s="143">
        <f>-BK50*$G$7</f>
        <v>-46094.912192914977</v>
      </c>
      <c r="BL52" s="143">
        <f>-BL50*$G$7</f>
        <v>-46533.986468851865</v>
      </c>
      <c r="BM52" s="143">
        <f>-BM50*$G$7</f>
        <v>-46875.083737959874</v>
      </c>
      <c r="BN52" s="143">
        <f>-BN50*$G$7</f>
        <v>-47138.736457866486</v>
      </c>
      <c r="BO52" s="143">
        <f>-BO50*$G$7</f>
        <v>-47341.730833533489</v>
      </c>
      <c r="BP52" s="143">
        <f>-BP50*$G$7</f>
        <v>-47497.548842007855</v>
      </c>
      <c r="BQ52" s="143">
        <f>-BQ50*$G$7</f>
        <v>-47616.874834095128</v>
      </c>
      <c r="BR52" s="143">
        <f>-BR50*$G$7</f>
        <v>-47708.090949448553</v>
      </c>
    </row>
    <row r="53" spans="1:70" s="98" customFormat="1" ht="12.75">
      <c r="B53" s="106" t="s">
        <v>139</v>
      </c>
      <c r="C53" s="110">
        <f>SUM(C50:C52)</f>
        <v>0</v>
      </c>
      <c r="D53" s="110">
        <f>SUM(D50:D52)</f>
        <v>1949.6849999999999</v>
      </c>
      <c r="E53" s="110">
        <f>SUM(E50:E52)</f>
        <v>2534.0583219761083</v>
      </c>
      <c r="F53" s="110">
        <f>SUM(F50:F52)</f>
        <v>3293.3768153478559</v>
      </c>
      <c r="G53" s="110">
        <f>SUM(G50:G52)</f>
        <v>4279.8713736335103</v>
      </c>
      <c r="H53" s="110">
        <f>SUM(H50:H52)</f>
        <v>4706.0267810993773</v>
      </c>
      <c r="I53" s="110">
        <f>SUM(I50:I52)</f>
        <v>6115.6201466227485</v>
      </c>
      <c r="J53" s="110">
        <f>SUM(J50:J52)</f>
        <v>7946.5661096317945</v>
      </c>
      <c r="K53" s="110">
        <f>SUM(K50:K52)</f>
        <v>10324.221151227857</v>
      </c>
      <c r="L53" s="144">
        <f>SUM(L50:L52)</f>
        <v>13410.828542358267</v>
      </c>
      <c r="M53" s="110">
        <f>SUM(M50:M52)</f>
        <v>17416.092072846495</v>
      </c>
      <c r="N53" s="110">
        <f>SUM(N50:N52)</f>
        <v>22610.587668391458</v>
      </c>
      <c r="O53" s="110">
        <f>SUM(O50:O52)</f>
        <v>24846.084501495101</v>
      </c>
      <c r="P53" s="110">
        <f>SUM(P50:P52)</f>
        <v>27299.826555891839</v>
      </c>
      <c r="Q53" s="110">
        <f>SUM(Q50:Q52)</f>
        <v>29992.545184981936</v>
      </c>
      <c r="R53" s="110">
        <f>SUM(R50:R52)</f>
        <v>32946.822065146465</v>
      </c>
      <c r="S53" s="110">
        <f>SUM(S50:S52)</f>
        <v>36187.229617451492</v>
      </c>
      <c r="T53" s="110">
        <f>SUM(T50:T52)</f>
        <v>39740.476799827338</v>
      </c>
      <c r="U53" s="110">
        <f>SUM(U50:U52)</f>
        <v>43635.559204996192</v>
      </c>
      <c r="V53" s="110">
        <f>SUM(V50:V52)</f>
        <v>47903.912024139172</v>
      </c>
      <c r="W53" s="110">
        <f>SUM(W50:W52)</f>
        <v>52579.563987192261</v>
      </c>
      <c r="X53" s="144">
        <f>SUM(X50:X52)</f>
        <v>57699.289858457327</v>
      </c>
      <c r="Y53" s="110">
        <f>SUM(Y50:Y52)</f>
        <v>63302.758441794547</v>
      </c>
      <c r="Z53" s="110">
        <f>SUM(Z50:Z52)</f>
        <v>69432.672324656989</v>
      </c>
      <c r="AA53" s="110">
        <f>SUM(AA50:AA52)</f>
        <v>83078.161990281224</v>
      </c>
      <c r="AB53" s="110">
        <f>SUM(AB50:AB52)</f>
        <v>99348.695338353311</v>
      </c>
      <c r="AC53" s="110">
        <f>SUM(AC50:AC52)</f>
        <v>118724.92624275232</v>
      </c>
      <c r="AD53" s="110">
        <f>SUM(AD50:AD52)</f>
        <v>141765.13108573545</v>
      </c>
      <c r="AE53" s="110">
        <f>SUM(AE50:AE52)</f>
        <v>169113.28968329474</v>
      </c>
      <c r="AF53" s="110">
        <f>SUM(AF50:AF52)</f>
        <v>201505.9823825784</v>
      </c>
      <c r="AG53" s="110">
        <f>SUM(AG50:AG52)</f>
        <v>239776.94581229566</v>
      </c>
      <c r="AH53" s="110">
        <f>SUM(AH50:AH52)</f>
        <v>284857.68578760116</v>
      </c>
      <c r="AI53" s="110">
        <f>SUM(AI50:AI52)</f>
        <v>337772.02788750804</v>
      </c>
      <c r="AJ53" s="144">
        <f>SUM(AJ50:AJ52)</f>
        <v>399621.93632384768</v>
      </c>
      <c r="AK53" s="110">
        <f>SUM(AK50:AK52)</f>
        <v>471561.43898905616</v>
      </c>
      <c r="AL53" s="110">
        <f>SUM(AL50:AL52)</f>
        <v>554755.21724979591</v>
      </c>
      <c r="AM53" s="110">
        <f>SUM(AM50:AM52)</f>
        <v>650318.59314646164</v>
      </c>
      <c r="AN53" s="110">
        <f>SUM(AN50:AN52)</f>
        <v>759236.59814615431</v>
      </c>
      <c r="AO53" s="110">
        <f>SUM(AO50:AO52)</f>
        <v>882261.90717715782</v>
      </c>
      <c r="AP53" s="110">
        <f>SUM(AP50:AP52)</f>
        <v>1019794.9849697957</v>
      </c>
      <c r="AQ53" s="110">
        <f>SUM(AQ50:AQ52)</f>
        <v>1171754.8913952776</v>
      </c>
      <c r="AR53" s="110">
        <f>SUM(AR50:AR52)</f>
        <v>1337455.3933988952</v>
      </c>
      <c r="AS53" s="110">
        <f>SUM(AS50:AS52)</f>
        <v>1515507.1256120848</v>
      </c>
      <c r="AT53" s="110">
        <f>SUM(AT50:AT52)</f>
        <v>1703770.4583454516</v>
      </c>
      <c r="AU53" s="110">
        <f>SUM(AU50:AU52)</f>
        <v>1899382.8612780084</v>
      </c>
      <c r="AV53" s="144">
        <f>SUM(AV50:AV52)</f>
        <v>2098876.6708477782</v>
      </c>
      <c r="AW53" s="110">
        <f>SUM(AW50:AW52)</f>
        <v>2298387.8410458812</v>
      </c>
      <c r="AX53" s="110">
        <f>SUM(AX50:AX52)</f>
        <v>2493936.0758616799</v>
      </c>
      <c r="AY53" s="110">
        <f>SUM(AY50:AY52)</f>
        <v>2781494.8765442655</v>
      </c>
      <c r="AZ53" s="110">
        <f>SUM(AZ50:AZ52)</f>
        <v>3062217.9595027892</v>
      </c>
      <c r="BA53" s="110">
        <f>SUM(BA50:BA52)</f>
        <v>3328291.3282083869</v>
      </c>
      <c r="BB53" s="110">
        <f>SUM(BB50:BB52)</f>
        <v>3573205.0887070424</v>
      </c>
      <c r="BC53" s="110">
        <f>SUM(BC50:BC52)</f>
        <v>3792384.5796986371</v>
      </c>
      <c r="BD53" s="110">
        <f>SUM(BD50:BD52)</f>
        <v>3983447.8388095093</v>
      </c>
      <c r="BE53" s="110">
        <f>SUM(BE50:BE52)</f>
        <v>4146082.4858979839</v>
      </c>
      <c r="BF53" s="110">
        <f>SUM(BF50:BF52)</f>
        <v>4281642.2835199991</v>
      </c>
      <c r="BG53" s="110">
        <f>SUM(BG50:BG52)</f>
        <v>4392613.3993634814</v>
      </c>
      <c r="BH53" s="110">
        <f>SUM(BH50:BH52)</f>
        <v>4482087.9913973371</v>
      </c>
      <c r="BI53" s="110">
        <f>SUM(BI50:BI52)</f>
        <v>4553333.4712012867</v>
      </c>
      <c r="BJ53" s="110">
        <f>SUM(BJ50:BJ52)</f>
        <v>4609491.219291498</v>
      </c>
      <c r="BK53" s="110">
        <f>SUM(BK50:BK52)</f>
        <v>4653398.6468851864</v>
      </c>
      <c r="BL53" s="110">
        <f>SUM(BL50:BL52)</f>
        <v>4687508.3737959871</v>
      </c>
      <c r="BM53" s="110">
        <f>SUM(BM50:BM52)</f>
        <v>4713873.6457866486</v>
      </c>
      <c r="BN53" s="110">
        <f>SUM(BN50:BN52)</f>
        <v>4734173.083353349</v>
      </c>
      <c r="BO53" s="110">
        <f>SUM(BO50:BO52)</f>
        <v>4749754.8842007853</v>
      </c>
      <c r="BP53" s="110">
        <f>SUM(BP50:BP52)</f>
        <v>4761687.4834095128</v>
      </c>
      <c r="BQ53" s="110">
        <f>SUM(BQ50:BQ52)</f>
        <v>4770809.0949448552</v>
      </c>
      <c r="BR53" s="110">
        <f>SUM(BR50:BR52)</f>
        <v>4777772.3067111932</v>
      </c>
    </row>
    <row r="54" spans="1:70" s="98" customFormat="1" ht="12.75">
      <c r="B54" s="106"/>
      <c r="C54" s="108"/>
      <c r="D54" s="108"/>
      <c r="E54" s="108"/>
      <c r="F54" s="108"/>
      <c r="G54" s="108"/>
      <c r="H54" s="108"/>
      <c r="I54" s="108"/>
      <c r="J54" s="108"/>
      <c r="K54" s="108"/>
      <c r="L54" s="111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11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11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11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</row>
    <row r="55" spans="1:70" s="98" customFormat="1" ht="12.75">
      <c r="B55" s="106" t="s">
        <v>138</v>
      </c>
      <c r="C55" s="108">
        <f>AVERAGE(C53,C50)</f>
        <v>0</v>
      </c>
      <c r="D55" s="108">
        <f>AVERAGE(D53,D50)</f>
        <v>1724.8425</v>
      </c>
      <c r="E55" s="108">
        <f>AVERAGE(E53,E50)</f>
        <v>2241.8716609880539</v>
      </c>
      <c r="F55" s="108">
        <f>AVERAGE(F53,F50)</f>
        <v>2913.7175686619821</v>
      </c>
      <c r="G55" s="108">
        <f>AVERAGE(G53,G50)</f>
        <v>3786.6240944906831</v>
      </c>
      <c r="H55" s="108">
        <f>AVERAGE(H53,H50)</f>
        <v>4492.9490773664438</v>
      </c>
      <c r="I55" s="108">
        <f>AVERAGE(I53,I50)</f>
        <v>5410.8234638610629</v>
      </c>
      <c r="J55" s="108">
        <f>AVERAGE(J53,J50)</f>
        <v>7031.0931281272715</v>
      </c>
      <c r="K55" s="108">
        <f>AVERAGE(K53,K50)</f>
        <v>9135.3936304298259</v>
      </c>
      <c r="L55" s="108">
        <f>AVERAGE(L53,L50)</f>
        <v>11867.524846793061</v>
      </c>
      <c r="M55" s="108">
        <f>AVERAGE(M53,M50)</f>
        <v>15413.460307602381</v>
      </c>
      <c r="N55" s="108">
        <f>AVERAGE(N53,N50)</f>
        <v>20013.339870618976</v>
      </c>
      <c r="O55" s="108">
        <f>AVERAGE(O53,O50)</f>
        <v>23728.336084943279</v>
      </c>
      <c r="P55" s="108">
        <f>AVERAGE(P53,P50)</f>
        <v>26072.95552869347</v>
      </c>
      <c r="Q55" s="108">
        <f>AVERAGE(Q53,Q50)</f>
        <v>28646.185870436886</v>
      </c>
      <c r="R55" s="108">
        <f>AVERAGE(R53,R50)</f>
        <v>31469.683625064201</v>
      </c>
      <c r="S55" s="108">
        <f>AVERAGE(S53,S50)</f>
        <v>34567.025841298979</v>
      </c>
      <c r="T55" s="108">
        <f>AVERAGE(T53,T50)</f>
        <v>37963.853208639412</v>
      </c>
      <c r="U55" s="108">
        <f>AVERAGE(U53,U50)</f>
        <v>41688.018002411765</v>
      </c>
      <c r="V55" s="108">
        <f>AVERAGE(V53,V50)</f>
        <v>45769.735614567682</v>
      </c>
      <c r="W55" s="108">
        <f>AVERAGE(W53,W50)</f>
        <v>50241.738005665713</v>
      </c>
      <c r="X55" s="108">
        <f>AVERAGE(X53,X50)</f>
        <v>55139.426922824794</v>
      </c>
      <c r="Y55" s="108">
        <f>AVERAGE(Y53,Y50)</f>
        <v>60501.024150125937</v>
      </c>
      <c r="Z55" s="108">
        <f>AVERAGE(Z53,Z50)</f>
        <v>66367.715383225761</v>
      </c>
      <c r="AA55" s="108">
        <f>AVERAGE(AA53,AA50)</f>
        <v>76255.417157469114</v>
      </c>
      <c r="AB55" s="108">
        <f>AVERAGE(AB53,AB50)</f>
        <v>91213.428664317267</v>
      </c>
      <c r="AC55" s="108">
        <f>AVERAGE(AC53,AC50)</f>
        <v>109036.81079055282</v>
      </c>
      <c r="AD55" s="108">
        <f>AVERAGE(AD53,AD50)</f>
        <v>130245.02866424389</v>
      </c>
      <c r="AE55" s="108">
        <f>AVERAGE(AE53,AE50)</f>
        <v>155439.21038451511</v>
      </c>
      <c r="AF55" s="108">
        <f>AVERAGE(AF53,AF50)</f>
        <v>185309.63603293657</v>
      </c>
      <c r="AG55" s="108">
        <f>AVERAGE(AG53,AG50)</f>
        <v>220641.46409743704</v>
      </c>
      <c r="AH55" s="108">
        <f>AVERAGE(AH53,AH50)</f>
        <v>262317.31579994841</v>
      </c>
      <c r="AI55" s="108">
        <f>AVERAGE(AI53,AI50)</f>
        <v>311314.8568375546</v>
      </c>
      <c r="AJ55" s="108">
        <f>AVERAGE(AJ53,AJ50)</f>
        <v>368696.98210567783</v>
      </c>
      <c r="AK55" s="108">
        <f>AVERAGE(AK53,AK50)</f>
        <v>435591.68765645195</v>
      </c>
      <c r="AL55" s="108">
        <f>AVERAGE(AL53,AL50)</f>
        <v>513158.32811942603</v>
      </c>
      <c r="AM55" s="108">
        <f>AVERAGE(AM53,AM50)</f>
        <v>602536.90519812878</v>
      </c>
      <c r="AN55" s="108">
        <f>AVERAGE(AN53,AN50)</f>
        <v>704777.59564630804</v>
      </c>
      <c r="AO55" s="108">
        <f>AVERAGE(AO53,AO50)</f>
        <v>820749.25266165612</v>
      </c>
      <c r="AP55" s="108">
        <f>AVERAGE(AP53,AP50)</f>
        <v>951028.44607347669</v>
      </c>
      <c r="AQ55" s="108">
        <f>AVERAGE(AQ53,AQ50)</f>
        <v>1095774.9381825365</v>
      </c>
      <c r="AR55" s="108">
        <f>AVERAGE(AR53,AR50)</f>
        <v>1254605.1423970864</v>
      </c>
      <c r="AS55" s="108">
        <f>AVERAGE(AS53,AS50)</f>
        <v>1426481.2595054898</v>
      </c>
      <c r="AT55" s="108">
        <f>AVERAGE(AT53,AT50)</f>
        <v>1609638.7919787681</v>
      </c>
      <c r="AU55" s="108">
        <f>AVERAGE(AU53,AU50)</f>
        <v>1801576.65981173</v>
      </c>
      <c r="AV55" s="108">
        <f>AVERAGE(AV53,AV50)</f>
        <v>1999129.7660628934</v>
      </c>
      <c r="AW55" s="108">
        <f>AVERAGE(AW53,AW50)</f>
        <v>2198632.2559468299</v>
      </c>
      <c r="AX55" s="108">
        <f>AVERAGE(AX53,AX50)</f>
        <v>2396161.9584537805</v>
      </c>
      <c r="AY55" s="108">
        <f>AVERAGE(AY53,AY50)</f>
        <v>2637715.4762029727</v>
      </c>
      <c r="AZ55" s="108">
        <f>AVERAGE(AZ53,AZ50)</f>
        <v>2921856.4180235276</v>
      </c>
      <c r="BA55" s="108">
        <f>AVERAGE(BA53,BA50)</f>
        <v>3195254.643855588</v>
      </c>
      <c r="BB55" s="108">
        <f>AVERAGE(BB53,BB50)</f>
        <v>3450748.2084577149</v>
      </c>
      <c r="BC55" s="108">
        <f>AVERAGE(BC53,BC50)</f>
        <v>3682794.83420284</v>
      </c>
      <c r="BD55" s="108">
        <f>AVERAGE(BD53,BD50)</f>
        <v>3887916.209254073</v>
      </c>
      <c r="BE55" s="108">
        <f>AVERAGE(BE53,BE50)</f>
        <v>4064765.1623537466</v>
      </c>
      <c r="BF55" s="108">
        <f>AVERAGE(BF53,BF50)</f>
        <v>4213862.3847089913</v>
      </c>
      <c r="BG55" s="108">
        <f>AVERAGE(BG53,BG50)</f>
        <v>4337127.8414417403</v>
      </c>
      <c r="BH55" s="108">
        <f>AVERAGE(BH53,BH50)</f>
        <v>4437350.6953804092</v>
      </c>
      <c r="BI55" s="108">
        <f>AVERAGE(BI53,BI50)</f>
        <v>4517710.7312993119</v>
      </c>
      <c r="BJ55" s="108">
        <f>AVERAGE(BJ53,BJ50)</f>
        <v>4581412.3452463923</v>
      </c>
      <c r="BK55" s="108">
        <f>AVERAGE(BK53,BK50)</f>
        <v>4631444.9330883417</v>
      </c>
      <c r="BL55" s="108">
        <f>AVERAGE(BL53,BL50)</f>
        <v>4670453.5103405863</v>
      </c>
      <c r="BM55" s="108">
        <f>AVERAGE(BM53,BM50)</f>
        <v>4700691.0097913183</v>
      </c>
      <c r="BN55" s="108">
        <f>AVERAGE(BN53,BN50)</f>
        <v>4724023.3645699993</v>
      </c>
      <c r="BO55" s="108">
        <f>AVERAGE(BO53,BO50)</f>
        <v>4741963.9837770667</v>
      </c>
      <c r="BP55" s="108">
        <f>AVERAGE(BP53,BP50)</f>
        <v>4755721.183805149</v>
      </c>
      <c r="BQ55" s="108">
        <f>AVERAGE(BQ53,BQ50)</f>
        <v>4766248.289177184</v>
      </c>
      <c r="BR55" s="108">
        <f>AVERAGE(BR53,BR50)</f>
        <v>4774290.7008280242</v>
      </c>
    </row>
    <row r="56" spans="1:70" s="98" customFormat="1" ht="12.75">
      <c r="B56" s="106" t="s">
        <v>137</v>
      </c>
      <c r="C56" s="108">
        <f>AVERAGE(C50,C53)*$C$26</f>
        <v>0</v>
      </c>
      <c r="D56" s="108">
        <f>AVERAGE(D50,D53)*$C$26</f>
        <v>86242.125</v>
      </c>
      <c r="E56" s="108">
        <f>AVERAGE(E50,E53)*$C$26</f>
        <v>112093.58304940269</v>
      </c>
      <c r="F56" s="108">
        <f>AVERAGE(F50,F53)*$C$26</f>
        <v>145685.8784330991</v>
      </c>
      <c r="G56" s="108">
        <f>AVERAGE(G50,G53)*$C$26</f>
        <v>189331.20472453415</v>
      </c>
      <c r="H56" s="108">
        <f>AVERAGE(H50,H53)*$C$26</f>
        <v>224647.45386832219</v>
      </c>
      <c r="I56" s="108">
        <f>AVERAGE(I50,I53)*$C$26</f>
        <v>270541.17319305317</v>
      </c>
      <c r="J56" s="108">
        <f>AVERAGE(J50,J53)*$C$26</f>
        <v>351554.65640636359</v>
      </c>
      <c r="K56" s="108">
        <f>AVERAGE(K50,K53)*$C$26</f>
        <v>456769.68152149126</v>
      </c>
      <c r="L56" s="108">
        <f>AVERAGE(L50,L53)*$C$26</f>
        <v>593376.24233965308</v>
      </c>
      <c r="M56" s="108">
        <f>AVERAGE(M50,M53)*$C$26</f>
        <v>770673.01538011909</v>
      </c>
      <c r="N56" s="108">
        <f>AVERAGE(N50,N53)*$C$26</f>
        <v>1000666.9935309489</v>
      </c>
      <c r="O56" s="108">
        <f>AVERAGE(O50,O53)*$C$26</f>
        <v>1186416.8042471639</v>
      </c>
      <c r="P56" s="108">
        <f>AVERAGE(P50,P53)*$C$26</f>
        <v>1303647.7764346735</v>
      </c>
      <c r="Q56" s="108">
        <f>AVERAGE(Q50,Q53)*$C$26</f>
        <v>1432309.2935218443</v>
      </c>
      <c r="R56" s="108">
        <f>AVERAGE(R50,R53)*$C$26</f>
        <v>1573484.1812532099</v>
      </c>
      <c r="S56" s="108">
        <f>AVERAGE(S50,S53)*$C$26</f>
        <v>1728351.2920649489</v>
      </c>
      <c r="T56" s="108">
        <f>AVERAGE(T50,T53)*$C$26</f>
        <v>1898192.6604319706</v>
      </c>
      <c r="U56" s="108">
        <f>AVERAGE(U50,U53)*$C$26</f>
        <v>2084400.9001205883</v>
      </c>
      <c r="V56" s="108">
        <f>AVERAGE(V50,V53)*$C$26</f>
        <v>2288486.7807283839</v>
      </c>
      <c r="W56" s="108">
        <f>AVERAGE(W50,W53)*$C$26</f>
        <v>2512086.9002832854</v>
      </c>
      <c r="X56" s="108">
        <f>AVERAGE(X50,X53)*$C$26</f>
        <v>2756971.3461412396</v>
      </c>
      <c r="Y56" s="108">
        <f>AVERAGE(Y50,Y53)*$C$26</f>
        <v>3025051.2075062967</v>
      </c>
      <c r="Z56" s="108">
        <f>AVERAGE(Z50,Z53)*$C$26</f>
        <v>3318385.7691612882</v>
      </c>
      <c r="AA56" s="108">
        <f>AVERAGE(AA50,AA53)*$C$26</f>
        <v>3812770.8578734556</v>
      </c>
      <c r="AB56" s="108">
        <f>AVERAGE(AB50,AB53)*$C$26</f>
        <v>4560671.4332158631</v>
      </c>
      <c r="AC56" s="108">
        <f>AVERAGE(AC50,AC53)*$C$26</f>
        <v>5451840.5395276407</v>
      </c>
      <c r="AD56" s="108">
        <f>AVERAGE(AD50,AD53)*$C$26</f>
        <v>6512251.4332121946</v>
      </c>
      <c r="AE56" s="108">
        <f>AVERAGE(AE50,AE53)*$C$26</f>
        <v>7771960.5192257557</v>
      </c>
      <c r="AF56" s="108">
        <f>AVERAGE(AF50,AF53)*$C$26</f>
        <v>9265481.8016468287</v>
      </c>
      <c r="AG56" s="108">
        <f>AVERAGE(AG50,AG53)*$C$26</f>
        <v>11032073.204871852</v>
      </c>
      <c r="AH56" s="108">
        <f>AVERAGE(AH50,AH53)*$C$26</f>
        <v>13115865.789997421</v>
      </c>
      <c r="AI56" s="108">
        <f>AVERAGE(AI50,AI53)*$C$26</f>
        <v>15565742.841877731</v>
      </c>
      <c r="AJ56" s="108">
        <f>AVERAGE(AJ50,AJ53)*$C$26</f>
        <v>18434849.10528389</v>
      </c>
      <c r="AK56" s="108">
        <f>AVERAGE(AK50,AK53)*$C$26</f>
        <v>21779584.382822596</v>
      </c>
      <c r="AL56" s="108">
        <f>AVERAGE(AL50,AL53)*$C$26</f>
        <v>25657916.405971304</v>
      </c>
      <c r="AM56" s="108">
        <f>AVERAGE(AM50,AM53)*$C$26</f>
        <v>30126845.259906437</v>
      </c>
      <c r="AN56" s="108">
        <f>AVERAGE(AN50,AN53)*$C$26</f>
        <v>35238879.782315403</v>
      </c>
      <c r="AO56" s="108">
        <f>AVERAGE(AO50,AO53)*$C$26</f>
        <v>41037462.633082807</v>
      </c>
      <c r="AP56" s="108">
        <f>AVERAGE(AP50,AP53)*$C$26</f>
        <v>47551422.303673834</v>
      </c>
      <c r="AQ56" s="108">
        <f>AVERAGE(AQ50,AQ53)*$C$26</f>
        <v>54788746.909126826</v>
      </c>
      <c r="AR56" s="108">
        <f>AVERAGE(AR50,AR53)*$C$26</f>
        <v>62730257.119854316</v>
      </c>
      <c r="AS56" s="108">
        <f>AVERAGE(AS50,AS53)*$C$26</f>
        <v>71324062.975274488</v>
      </c>
      <c r="AT56" s="108">
        <f>AVERAGE(AT50,AT53)*$C$26</f>
        <v>80481939.598938406</v>
      </c>
      <c r="AU56" s="108">
        <f>AVERAGE(AU50,AU53)*$C$26</f>
        <v>90078832.990586504</v>
      </c>
      <c r="AV56" s="108">
        <f>AVERAGE(AV50,AV53)*$C$26</f>
        <v>99956488.303144678</v>
      </c>
      <c r="AW56" s="108">
        <f>AVERAGE(AW50,AW53)*$C$26</f>
        <v>109931612.7973415</v>
      </c>
      <c r="AX56" s="108">
        <f>AVERAGE(AX50,AX53)*$C$26</f>
        <v>119808097.92268902</v>
      </c>
      <c r="AY56" s="108">
        <f>AVERAGE(AY50,AY53)*$C$26</f>
        <v>131885773.81014864</v>
      </c>
      <c r="AZ56" s="108">
        <f>AVERAGE(AZ50,AZ53)*$C$26</f>
        <v>146092820.90117639</v>
      </c>
      <c r="BA56" s="108">
        <f>AVERAGE(BA50,BA53)*$C$26</f>
        <v>159762732.19277939</v>
      </c>
      <c r="BB56" s="108">
        <f>AVERAGE(BB50,BB53)*$C$26</f>
        <v>172537410.42288575</v>
      </c>
      <c r="BC56" s="108">
        <f>AVERAGE(BC50,BC53)*$C$26</f>
        <v>184139741.71014199</v>
      </c>
      <c r="BD56" s="108">
        <f>AVERAGE(BD50,BD53)*$C$26</f>
        <v>194395810.46270365</v>
      </c>
      <c r="BE56" s="108">
        <f>AVERAGE(BE50,BE53)*$C$26</f>
        <v>203238258.11768734</v>
      </c>
      <c r="BF56" s="108">
        <f>AVERAGE(BF50,BF53)*$C$26</f>
        <v>210693119.23544955</v>
      </c>
      <c r="BG56" s="108">
        <f>AVERAGE(BG50,BG53)*$C$26</f>
        <v>216856392.07208702</v>
      </c>
      <c r="BH56" s="108">
        <f>AVERAGE(BH50,BH53)*$C$26</f>
        <v>221867534.76902047</v>
      </c>
      <c r="BI56" s="108">
        <f>AVERAGE(BI50,BI53)*$C$26</f>
        <v>225885536.56496561</v>
      </c>
      <c r="BJ56" s="108">
        <f>AVERAGE(BJ50,BJ53)*$C$26</f>
        <v>229070617.26231962</v>
      </c>
      <c r="BK56" s="108">
        <f>AVERAGE(BK50,BK53)*$C$26</f>
        <v>231572246.6544171</v>
      </c>
      <c r="BL56" s="108">
        <f>AVERAGE(BL50,BL53)*$C$26</f>
        <v>233522675.51702932</v>
      </c>
      <c r="BM56" s="108">
        <f>AVERAGE(BM50,BM53)*$C$26</f>
        <v>235034550.48956591</v>
      </c>
      <c r="BN56" s="108">
        <f>AVERAGE(BN50,BN53)*$C$26</f>
        <v>236201168.22849995</v>
      </c>
      <c r="BO56" s="108">
        <f>AVERAGE(BO50,BO53)*$C$26</f>
        <v>237098199.18885332</v>
      </c>
      <c r="BP56" s="108">
        <f>AVERAGE(BP50,BP53)*$C$26</f>
        <v>237786059.19025746</v>
      </c>
      <c r="BQ56" s="108">
        <f>AVERAGE(BQ50,BQ53)*$C$26</f>
        <v>238312414.45885921</v>
      </c>
      <c r="BR56" s="108">
        <f>AVERAGE(BR50,BR53)*$C$26</f>
        <v>238714535.04140121</v>
      </c>
    </row>
    <row r="57" spans="1:70" s="98" customFormat="1" ht="12.75">
      <c r="B57" s="106"/>
      <c r="C57" s="108"/>
      <c r="D57" s="108"/>
      <c r="E57" s="108"/>
      <c r="F57" s="108"/>
      <c r="G57" s="108"/>
      <c r="H57" s="108"/>
      <c r="I57" s="108"/>
      <c r="J57" s="108"/>
      <c r="K57" s="108"/>
      <c r="L57" s="111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11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11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11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</row>
    <row r="58" spans="1:70" s="98" customFormat="1" ht="12.75">
      <c r="B58" s="126" t="s">
        <v>136</v>
      </c>
      <c r="C58" s="141">
        <v>1</v>
      </c>
      <c r="D58" s="141">
        <v>2</v>
      </c>
      <c r="E58" s="141">
        <v>3</v>
      </c>
      <c r="F58" s="141">
        <v>4</v>
      </c>
      <c r="G58" s="141">
        <v>5</v>
      </c>
      <c r="H58" s="141">
        <v>6</v>
      </c>
      <c r="I58" s="141">
        <v>7</v>
      </c>
      <c r="J58" s="141">
        <v>8</v>
      </c>
      <c r="K58" s="141">
        <v>9</v>
      </c>
      <c r="L58" s="141">
        <v>10</v>
      </c>
      <c r="M58" s="141">
        <v>11</v>
      </c>
      <c r="N58" s="141">
        <v>12</v>
      </c>
      <c r="O58" s="141">
        <v>13</v>
      </c>
      <c r="P58" s="141">
        <v>14</v>
      </c>
      <c r="Q58" s="141">
        <v>15</v>
      </c>
      <c r="R58" s="141">
        <v>16</v>
      </c>
      <c r="S58" s="141">
        <v>17</v>
      </c>
      <c r="T58" s="141">
        <v>18</v>
      </c>
      <c r="U58" s="141">
        <v>19</v>
      </c>
      <c r="V58" s="141">
        <v>20</v>
      </c>
      <c r="W58" s="141">
        <v>21</v>
      </c>
      <c r="X58" s="141">
        <v>22</v>
      </c>
      <c r="Y58" s="141">
        <v>23</v>
      </c>
      <c r="Z58" s="141">
        <v>24</v>
      </c>
      <c r="AA58" s="141">
        <v>25</v>
      </c>
      <c r="AB58" s="141">
        <v>26</v>
      </c>
      <c r="AC58" s="141">
        <v>27</v>
      </c>
      <c r="AD58" s="141">
        <v>28</v>
      </c>
      <c r="AE58" s="141">
        <v>29</v>
      </c>
      <c r="AF58" s="141">
        <v>30</v>
      </c>
      <c r="AG58" s="141">
        <v>31</v>
      </c>
      <c r="AH58" s="141">
        <v>32</v>
      </c>
      <c r="AI58" s="141">
        <v>33</v>
      </c>
      <c r="AJ58" s="141">
        <v>34</v>
      </c>
      <c r="AK58" s="141">
        <v>35</v>
      </c>
      <c r="AL58" s="141">
        <v>36</v>
      </c>
      <c r="AM58" s="141">
        <v>37</v>
      </c>
      <c r="AN58" s="141">
        <v>38</v>
      </c>
      <c r="AO58" s="141">
        <v>39</v>
      </c>
      <c r="AP58" s="141">
        <v>40</v>
      </c>
      <c r="AQ58" s="141">
        <v>41</v>
      </c>
      <c r="AR58" s="141">
        <v>42</v>
      </c>
      <c r="AS58" s="141">
        <v>43</v>
      </c>
      <c r="AT58" s="141">
        <v>44</v>
      </c>
      <c r="AU58" s="141">
        <v>45</v>
      </c>
      <c r="AV58" s="141">
        <v>46</v>
      </c>
      <c r="AW58" s="141">
        <v>47</v>
      </c>
      <c r="AX58" s="141">
        <v>48</v>
      </c>
      <c r="AY58" s="141">
        <v>49</v>
      </c>
      <c r="AZ58" s="141">
        <v>50</v>
      </c>
      <c r="BA58" s="141">
        <v>51</v>
      </c>
      <c r="BB58" s="141">
        <v>52</v>
      </c>
      <c r="BC58" s="141">
        <v>53</v>
      </c>
      <c r="BD58" s="141">
        <v>54</v>
      </c>
      <c r="BE58" s="141">
        <v>55</v>
      </c>
      <c r="BF58" s="141">
        <v>56</v>
      </c>
      <c r="BG58" s="141">
        <v>57</v>
      </c>
      <c r="BH58" s="141">
        <v>58</v>
      </c>
      <c r="BI58" s="141">
        <v>59</v>
      </c>
      <c r="BJ58" s="141">
        <v>60</v>
      </c>
      <c r="BK58" s="141">
        <v>61</v>
      </c>
      <c r="BL58" s="141">
        <v>62</v>
      </c>
      <c r="BM58" s="141">
        <v>63</v>
      </c>
      <c r="BN58" s="141">
        <v>64</v>
      </c>
      <c r="BO58" s="141">
        <v>65</v>
      </c>
      <c r="BP58" s="141">
        <v>66</v>
      </c>
      <c r="BQ58" s="141">
        <v>67</v>
      </c>
      <c r="BR58" s="141">
        <v>68</v>
      </c>
    </row>
    <row r="59" spans="1:70" s="124" customFormat="1" ht="7.5" customHeight="1">
      <c r="A59" s="123"/>
    </row>
    <row r="60" spans="1:70" s="98" customFormat="1" ht="12.75">
      <c r="B60" s="106" t="s">
        <v>135</v>
      </c>
      <c r="C60" s="107">
        <v>20</v>
      </c>
      <c r="D60" s="108">
        <f>C63</f>
        <v>28.972000000000001</v>
      </c>
      <c r="E60" s="108">
        <f>D63</f>
        <v>41.950643625120001</v>
      </c>
      <c r="F60" s="108">
        <f>E63</f>
        <v>60.70524330138467</v>
      </c>
      <c r="G60" s="108">
        <f>F63</f>
        <v>87.764643927508146</v>
      </c>
      <c r="H60" s="108">
        <f>G63</f>
        <v>126.71954940422626</v>
      </c>
      <c r="I60" s="108">
        <f>H63</f>
        <v>188.95527501225467</v>
      </c>
      <c r="J60" s="108">
        <f>I63</f>
        <v>197.51043636399348</v>
      </c>
      <c r="K60" s="108">
        <f>J63</f>
        <v>206.41069887037577</v>
      </c>
      <c r="L60" s="108">
        <f>K63</f>
        <v>215.66609939869065</v>
      </c>
      <c r="M60" s="108">
        <f>L63</f>
        <v>225.28660770787906</v>
      </c>
      <c r="N60" s="108">
        <f>M63</f>
        <v>235.2820867029599</v>
      </c>
      <c r="O60" s="108">
        <f>N63</f>
        <v>257.42635386517344</v>
      </c>
      <c r="P60" s="108">
        <f>O63</f>
        <v>268.97230500514576</v>
      </c>
      <c r="Q60" s="108">
        <f>P63</f>
        <v>280.97399823820746</v>
      </c>
      <c r="R60" s="108">
        <f>Q63</f>
        <v>293.44377039639852</v>
      </c>
      <c r="S60" s="108">
        <f>R63</f>
        <v>306.3937739885294</v>
      </c>
      <c r="T60" s="108">
        <f>S63</f>
        <v>319.83591979317725</v>
      </c>
      <c r="U60" s="108">
        <f>T63</f>
        <v>333.78181547103719</v>
      </c>
      <c r="V60" s="108">
        <f>U63</f>
        <v>348.24270023780628</v>
      </c>
      <c r="W60" s="108">
        <f>V63</f>
        <v>363.2293756843182</v>
      </c>
      <c r="X60" s="108">
        <f>W63</f>
        <v>378.75213288133369</v>
      </c>
      <c r="Y60" s="108">
        <f>X63</f>
        <v>394.82067596215717</v>
      </c>
      <c r="Z60" s="108">
        <f>Y63</f>
        <v>411.44404243692071</v>
      </c>
      <c r="AA60" s="108">
        <f>Z63</f>
        <v>469.77492480132213</v>
      </c>
      <c r="AB60" s="108">
        <f>AA63</f>
        <v>535.82739392207873</v>
      </c>
      <c r="AC60" s="108">
        <f>AB63</f>
        <v>610.45928308884402</v>
      </c>
      <c r="AD60" s="108">
        <f>AC63</f>
        <v>694.57496482598367</v>
      </c>
      <c r="AE60" s="108">
        <f>AD63</f>
        <v>789.11252191462086</v>
      </c>
      <c r="AF60" s="108">
        <f>AE63</f>
        <v>895.02542875696486</v>
      </c>
      <c r="AG60" s="108">
        <f>AF63</f>
        <v>1013.2578327080779</v>
      </c>
      <c r="AH60" s="108">
        <f>AG63</f>
        <v>1144.7126789034041</v>
      </c>
      <c r="AI60" s="108">
        <f>AH63</f>
        <v>1290.2122383940705</v>
      </c>
      <c r="AJ60" s="108">
        <f>AI63</f>
        <v>1450.4511217511445</v>
      </c>
      <c r="AK60" s="108">
        <f>AJ63</f>
        <v>1625.942620882033</v>
      </c>
      <c r="AL60" s="108">
        <f>AK63</f>
        <v>1816.9602258863233</v>
      </c>
      <c r="AM60" s="108">
        <f>AL63</f>
        <v>2023.4773705202142</v>
      </c>
      <c r="AN60" s="108">
        <f>AM63</f>
        <v>2245.1097627180984</v>
      </c>
      <c r="AO60" s="108">
        <f>AN63</f>
        <v>2481.0658701927705</v>
      </c>
      <c r="AP60" s="108">
        <f>AO63</f>
        <v>2730.1119936769778</v>
      </c>
      <c r="AQ60" s="108">
        <f>AP63</f>
        <v>2990.5585627681471</v>
      </c>
      <c r="AR60" s="108">
        <f>AQ63</f>
        <v>3260.2735368364515</v>
      </c>
      <c r="AS60" s="108">
        <f>AR63</f>
        <v>3536.7268966619981</v>
      </c>
      <c r="AT60" s="108">
        <f>AS63</f>
        <v>3817.0671883298501</v>
      </c>
      <c r="AU60" s="108">
        <f>AT63</f>
        <v>4098.2272281748401</v>
      </c>
      <c r="AV60" s="108">
        <f>AU63</f>
        <v>4377.0519841259938</v>
      </c>
      <c r="AW60" s="108">
        <f>AV63</f>
        <v>4650.4381003100671</v>
      </c>
      <c r="AX60" s="108">
        <f>AW63</f>
        <v>4915.4723248602668</v>
      </c>
      <c r="AY60" s="108">
        <f>AX63</f>
        <v>5169.5558100599628</v>
      </c>
      <c r="AZ60" s="108">
        <f>AY63</f>
        <v>5617.285268504862</v>
      </c>
      <c r="BA60" s="108">
        <f>AZ63</f>
        <v>6053.4915937655514</v>
      </c>
      <c r="BB60" s="108">
        <f>BA63</f>
        <v>6470.7597870652025</v>
      </c>
      <c r="BC60" s="108">
        <f>BB63</f>
        <v>6862.7895021695895</v>
      </c>
      <c r="BD60" s="108">
        <f>BC63</f>
        <v>7224.7619125600295</v>
      </c>
      <c r="BE60" s="108">
        <f>BD63</f>
        <v>7553.5229820828745</v>
      </c>
      <c r="BF60" s="108">
        <f>BE63</f>
        <v>7847.5781598615367</v>
      </c>
      <c r="BG60" s="108">
        <f>BF63</f>
        <v>8106.9283507325135</v>
      </c>
      <c r="BH60" s="108">
        <f>BG63</f>
        <v>8332.7989916934785</v>
      </c>
      <c r="BI60" s="108">
        <f>BH63</f>
        <v>8527.3200193958819</v>
      </c>
      <c r="BJ60" s="108">
        <f>BI63</f>
        <v>8693.2070888173039</v>
      </c>
      <c r="BK60" s="108">
        <f>BJ63</f>
        <v>8833.4794459113236</v>
      </c>
      <c r="BL60" s="108">
        <f>BK63</f>
        <v>8951.233358207719</v>
      </c>
      <c r="BM60" s="108">
        <f>BL63</f>
        <v>9049.4761236053728</v>
      </c>
      <c r="BN60" s="108">
        <f>BM63</f>
        <v>9131.0162248563192</v>
      </c>
      <c r="BO60" s="108">
        <f>BN63</f>
        <v>9198.4001616072328</v>
      </c>
      <c r="BP60" s="108">
        <f>BO63</f>
        <v>9253.8848816514874</v>
      </c>
      <c r="BQ60" s="108">
        <f>BP63</f>
        <v>9299.4353011081093</v>
      </c>
      <c r="BR60" s="108">
        <f>BQ63</f>
        <v>9336.7380699287369</v>
      </c>
    </row>
    <row r="61" spans="1:70" s="98" customFormat="1" ht="12.75">
      <c r="B61" s="104" t="s">
        <v>134</v>
      </c>
      <c r="C61" s="109">
        <f>(C60*$C$11)*(($C$14-C60)/$C$14)</f>
        <v>13.972</v>
      </c>
      <c r="D61" s="109">
        <f>(D60*$C$11)*(($C$14-D60)/$C$14)</f>
        <v>20.221643625120002</v>
      </c>
      <c r="E61" s="109">
        <f>(E60*$C$11)*(($C$14-E60)/$C$14)</f>
        <v>29.242260582544674</v>
      </c>
      <c r="F61" s="109">
        <f>(F60*$C$11)*(($C$14-F60)/$C$14)</f>
        <v>42.235711451469641</v>
      </c>
      <c r="G61" s="109">
        <f>(G60*$C$11)*(($C$14-G60)/$C$14)</f>
        <v>60.896066458595143</v>
      </c>
      <c r="H61" s="109">
        <f>(H60*$C$11)*(($C$14-H60)/$C$14)</f>
        <v>87.579635488873663</v>
      </c>
      <c r="I61" s="109">
        <f>(I60*$D$11)*(($C$14-I60)/$C$14)</f>
        <v>46.34621635418975</v>
      </c>
      <c r="J61" s="109">
        <f>(J60*$D$11)*(($C$14-J60)/$C$14)</f>
        <v>48.402349779180994</v>
      </c>
      <c r="K61" s="109">
        <f>(K60*$D$11)*(($C$14-K60)/$C$14)</f>
        <v>50.53754030239002</v>
      </c>
      <c r="L61" s="109">
        <f>(L60*$D$11)*(($C$14-L60)/$C$14)</f>
        <v>52.753728188926516</v>
      </c>
      <c r="M61" s="109">
        <f>(M60*$D$11)*(($C$14-M60)/$C$14)</f>
        <v>55.052800536656669</v>
      </c>
      <c r="N61" s="109">
        <f>(N60*$D$11)*(($C$14-N60)/$C$14)</f>
        <v>57.436580167657496</v>
      </c>
      <c r="O61" s="109">
        <f>(O60*$E$11)*(($C$14-O60)/$C$14)</f>
        <v>50.159904219748334</v>
      </c>
      <c r="P61" s="109">
        <f>(P60*$E$11)*(($C$14-P60)/$C$14)</f>
        <v>52.347538983833537</v>
      </c>
      <c r="Q61" s="109">
        <f>(Q60*$E$11)*(($C$14-Q60)/$C$14)</f>
        <v>54.615871893922211</v>
      </c>
      <c r="R61" s="109">
        <f>(R60*$E$11)*(($C$14-R60)/$C$14)</f>
        <v>56.966569151590626</v>
      </c>
      <c r="S61" s="109">
        <f>(S60*$E$11)*(($C$14-S60)/$C$14)</f>
        <v>59.401211902927209</v>
      </c>
      <c r="T61" s="109">
        <f>(T60*$E$11)*(($C$14-T60)/$C$14)</f>
        <v>61.9212836468365</v>
      </c>
      <c r="U61" s="109">
        <f>(U60*$E$11)*(($C$14-U60)/$C$14)</f>
        <v>64.528157087424617</v>
      </c>
      <c r="V61" s="109">
        <f>(V60*$E$11)*(($C$14-V60)/$C$14)</f>
        <v>67.22308048218288</v>
      </c>
      <c r="W61" s="109">
        <f>(W60*$E$11)*(($C$14-W60)/$C$14)</f>
        <v>70.007163549663247</v>
      </c>
      <c r="X61" s="109">
        <f>(X60*$E$11)*(($C$14-X60)/$C$14)</f>
        <v>72.881363013023545</v>
      </c>
      <c r="Y61" s="109">
        <f>(Y60*$E$11)*(($C$14-Y60)/$C$14)</f>
        <v>75.846467869087149</v>
      </c>
      <c r="Z61" s="109">
        <f>(Z60*$E$11)*(($C$14-Z60)/$C$14)</f>
        <v>78.903084486247451</v>
      </c>
      <c r="AA61" s="109">
        <f>(AA60*$E$11)*(($C$14-AA60)/$C$14)</f>
        <v>89.541215360822662</v>
      </c>
      <c r="AB61" s="109">
        <f>(AB60*$E$11)*(($C$14-AB60)/$C$14)</f>
        <v>101.42325886286923</v>
      </c>
      <c r="AC61" s="109">
        <f>(AC60*$E$11)*(($C$14-AC60)/$C$14)</f>
        <v>114.63864589158192</v>
      </c>
      <c r="AD61" s="109">
        <f>(AD60*$E$11)*(($C$14-AD60)/$C$14)</f>
        <v>129.26630532993642</v>
      </c>
      <c r="AE61" s="109">
        <f>(AE60*$E$11)*(($C$14-AE60)/$C$14)</f>
        <v>145.36853293807513</v>
      </c>
      <c r="AF61" s="109">
        <f>(AF60*$E$11)*(($C$14-AF60)/$C$14)</f>
        <v>162.98367538896122</v>
      </c>
      <c r="AG61" s="109">
        <f>(AG60*$E$11)*(($C$14-AG60)/$C$14)</f>
        <v>182.11773783073016</v>
      </c>
      <c r="AH61" s="109">
        <f>(AH60*$E$11)*(($C$14-AH60)/$C$14)</f>
        <v>202.73519343583666</v>
      </c>
      <c r="AI61" s="109">
        <f>(AI60*$E$11)*(($C$14-AI60)/$C$14)</f>
        <v>224.74949527677737</v>
      </c>
      <c r="AJ61" s="109">
        <f>(AJ60*$E$11)*(($C$14-AJ60)/$C$14)</f>
        <v>248.01405521844583</v>
      </c>
      <c r="AK61" s="109">
        <f>(AK60*$E$11)*(($C$14-AK60)/$C$14)</f>
        <v>272.31473604839198</v>
      </c>
      <c r="AL61" s="109">
        <f>(AL60*$E$11)*(($C$14-AL60)/$C$14)</f>
        <v>297.36515592820706</v>
      </c>
      <c r="AM61" s="109">
        <f>(AM60*$E$11)*(($C$14-AM60)/$C$14)</f>
        <v>322.80626072389487</v>
      </c>
      <c r="AN61" s="109">
        <f>(AN60*$E$11)*(($C$14-AN60)/$C$14)</f>
        <v>348.21159561057732</v>
      </c>
      <c r="AO61" s="109">
        <f>(AO60*$E$11)*(($C$14-AO60)/$C$14)</f>
        <v>373.09941699384598</v>
      </c>
      <c r="AP61" s="109">
        <f>(AP60*$E$11)*(($C$14-AP60)/$C$14)</f>
        <v>396.95216877501792</v>
      </c>
      <c r="AQ61" s="109">
        <f>(AQ60*$E$11)*(($C$14-AQ60)/$C$14)</f>
        <v>419.24290220671179</v>
      </c>
      <c r="AR61" s="109">
        <f>(AR60*$E$11)*(($C$14-AR60)/$C$14)</f>
        <v>439.46703666736897</v>
      </c>
      <c r="AS61" s="109">
        <f>(AS60*$E$11)*(($C$14-AS60)/$C$14)</f>
        <v>457.17663650095153</v>
      </c>
      <c r="AT61" s="109">
        <f>(AT60*$E$11)*(($C$14-AT60)/$C$14)</f>
        <v>472.01339926148307</v>
      </c>
      <c r="AU61" s="109">
        <f>(AU60*$E$11)*(($C$14-AU60)/$C$14)</f>
        <v>483.73611735989539</v>
      </c>
      <c r="AV61" s="109">
        <f>(AV60*$E$11)*(($C$14-AV60)/$C$14)</f>
        <v>492.23871539037287</v>
      </c>
      <c r="AW61" s="109">
        <f>(AW60*$E$11)*(($C$14-AW60)/$C$14)</f>
        <v>497.55612956570332</v>
      </c>
      <c r="AX61" s="109">
        <f>(AX60*$E$11)*(($C$14-AX60)/$C$14)</f>
        <v>499.85710144270939</v>
      </c>
      <c r="AY61" s="109">
        <f>(AY60*$E$11)*(($C$14-AY60)/$C$14)</f>
        <v>499.42501654549829</v>
      </c>
      <c r="AZ61" s="109">
        <f>(AZ60*$E$11)*(($C$14-AZ60)/$C$14)</f>
        <v>492.37917794573764</v>
      </c>
      <c r="BA61" s="109">
        <f>(BA60*$E$11)*(($C$14-BA60)/$C$14)</f>
        <v>477.80310923730633</v>
      </c>
      <c r="BB61" s="109">
        <f>(BB60*$E$11)*(($C$14-BB60)/$C$14)</f>
        <v>456.73731297503849</v>
      </c>
      <c r="BC61" s="109">
        <f>(BC60*$E$11)*(($C$14-BC60)/$C$14)</f>
        <v>430.60030541213547</v>
      </c>
      <c r="BD61" s="109">
        <f>(BD60*$E$11)*(($C$14-BD60)/$C$14)</f>
        <v>401.00868864844483</v>
      </c>
      <c r="BE61" s="109">
        <f>(BE60*$E$11)*(($C$14-BE60)/$C$14)</f>
        <v>369.5904075994917</v>
      </c>
      <c r="BF61" s="109">
        <f>(BF60*$E$11)*(($C$14-BF60)/$C$14)</f>
        <v>337.82597246959165</v>
      </c>
      <c r="BG61" s="109">
        <f>(BG60*$E$11)*(($C$14-BG60)/$C$14)</f>
        <v>306.93992446829088</v>
      </c>
      <c r="BH61" s="109">
        <f>(BH60*$E$11)*(($C$14-BH60)/$C$14)</f>
        <v>277.84901761933872</v>
      </c>
      <c r="BI61" s="109">
        <f>(BI60*$E$11)*(($C$14-BI60)/$C$14)</f>
        <v>251.16026961538071</v>
      </c>
      <c r="BJ61" s="109">
        <f>(BJ60*$E$11)*(($C$14-BJ60)/$C$14)</f>
        <v>227.20442798219233</v>
      </c>
      <c r="BK61" s="109">
        <f>(BK60*$E$11)*(($C$14-BK60)/$C$14)</f>
        <v>206.08870675550824</v>
      </c>
      <c r="BL61" s="109">
        <f>(BL60*$E$11)*(($C$14-BL60)/$C$14)</f>
        <v>187.75509897973103</v>
      </c>
      <c r="BM61" s="109">
        <f>(BM60*$E$11)*(($C$14-BM60)/$C$14)</f>
        <v>172.03486248700008</v>
      </c>
      <c r="BN61" s="109">
        <f>(BN60*$E$11)*(($C$14-BN60)/$C$14)</f>
        <v>158.69409899947689</v>
      </c>
      <c r="BO61" s="109">
        <f>(BO60*$E$11)*(($C$14-BO60)/$C$14)</f>
        <v>147.46872166032722</v>
      </c>
      <c r="BP61" s="109">
        <f>(BP60*$E$11)*(($C$14-BP60)/$C$14)</f>
        <v>138.08926827313823</v>
      </c>
      <c r="BQ61" s="109">
        <f>(BQ60*$E$11)*(($C$14-BQ60)/$C$14)</f>
        <v>130.29712183170844</v>
      </c>
      <c r="BR61" s="109">
        <f>(BR60*$E$11)*(($C$14-BR60)/$C$14)</f>
        <v>123.8540582566155</v>
      </c>
    </row>
    <row r="62" spans="1:70" ht="12.75">
      <c r="B62" s="142" t="s">
        <v>133</v>
      </c>
      <c r="C62" s="143" cm="1">
        <f t="array" ref="C62">_xlfn.IFS(C58&lt;$C$10,$C$12*C60,C58&lt;$D$10,C60*$D$12,C58&lt;$E$10,$E$12*C60,C58&lt;$F$10,$F$12*C60,C58&gt;$F$10,$G$12*C60)</f>
        <v>-5</v>
      </c>
      <c r="D62" s="143" cm="1">
        <f t="array" ref="D62">_xlfn.IFS(D58&lt;$C$10,$C$12*D60,D58&lt;$D$10,D60*$D$12,D58&lt;$E$10,$E$12*D60,D58&lt;$F$10,$F$12*D60,D58&gt;$F$10,$G$12*D60)</f>
        <v>-7.2430000000000003</v>
      </c>
      <c r="E62" s="143" cm="1">
        <f t="array" ref="E62">_xlfn.IFS(E58&lt;$C$10,$C$12*E60,E58&lt;$D$10,E60*$D$12,E58&lt;$E$10,$E$12*E60,E58&lt;$F$10,$F$12*E60,E58&gt;$F$10,$G$12*E60)</f>
        <v>-10.48766090628</v>
      </c>
      <c r="F62" s="143" cm="1">
        <f t="array" ref="F62">_xlfn.IFS(F58&lt;$C$10,$C$12*F60,F58&lt;$D$10,F60*$D$12,F58&lt;$E$10,$E$12*F60,F58&lt;$F$10,$F$12*F60,F58&gt;$F$10,$G$12*F60)</f>
        <v>-15.176310825346167</v>
      </c>
      <c r="G62" s="143" cm="1">
        <f t="array" ref="G62">_xlfn.IFS(G58&lt;$C$10,$C$12*G60,G58&lt;$D$10,G60*$D$12,G58&lt;$E$10,$E$12*G60,G58&lt;$F$10,$F$12*G60,G58&gt;$F$10,$G$12*G60)</f>
        <v>-21.941160981877037</v>
      </c>
      <c r="H62" s="143" cm="1">
        <f t="array" ref="H62">_xlfn.IFS(H58&lt;$C$10,$C$12*H60,H58&lt;$D$10,H60*$D$12,H58&lt;$E$10,$E$12*H60,H58&lt;$F$10,$F$12*H60,H58&gt;$F$10,$G$12*H60)</f>
        <v>-25.343909880845253</v>
      </c>
      <c r="I62" s="143" cm="1">
        <f t="array" ref="I62">_xlfn.IFS(I58&lt;$C$10,$C$12*I60,I58&lt;$D$10,I60*$D$12,I58&lt;$E$10,$E$12*I60,I58&lt;$F$10,$F$12*I60,I58&gt;$F$10,$G$12*I60)</f>
        <v>-37.791055002450939</v>
      </c>
      <c r="J62" s="143" cm="1">
        <f t="array" ref="J62">_xlfn.IFS(J58&lt;$C$10,$C$12*J60,J58&lt;$D$10,J60*$D$12,J58&lt;$E$10,$E$12*J60,J58&lt;$F$10,$F$12*J60,J58&gt;$F$10,$G$12*J60)</f>
        <v>-39.502087272798697</v>
      </c>
      <c r="K62" s="143" cm="1">
        <f t="array" ref="K62">_xlfn.IFS(K58&lt;$C$10,$C$12*K60,K58&lt;$D$10,K60*$D$12,K58&lt;$E$10,$E$12*K60,K58&lt;$F$10,$F$12*K60,K58&gt;$F$10,$G$12*K60)</f>
        <v>-41.282139774075155</v>
      </c>
      <c r="L62" s="143" cm="1">
        <f t="array" ref="L62">_xlfn.IFS(L58&lt;$C$10,$C$12*L60,L58&lt;$D$10,L60*$D$12,L58&lt;$E$10,$E$12*L60,L58&lt;$F$10,$F$12*L60,L58&gt;$F$10,$G$12*L60)</f>
        <v>-43.133219879738135</v>
      </c>
      <c r="M62" s="143" cm="1">
        <f t="array" ref="M62">_xlfn.IFS(M58&lt;$C$10,$C$12*M60,M58&lt;$D$10,M60*$D$12,M58&lt;$E$10,$E$12*M60,M58&lt;$F$10,$F$12*M60,M58&gt;$F$10,$G$12*M60)</f>
        <v>-45.057321541575817</v>
      </c>
      <c r="N62" s="143" cm="1">
        <f t="array" ref="N62">_xlfn.IFS(N58&lt;$C$10,$C$12*N60,N58&lt;$D$10,N60*$D$12,N58&lt;$E$10,$E$12*N60,N58&lt;$F$10,$F$12*N60,N58&gt;$F$10,$G$12*N60)</f>
        <v>-35.292313005443987</v>
      </c>
      <c r="O62" s="143" cm="1">
        <f t="array" ref="O62">_xlfn.IFS(O58&lt;$C$10,$C$12*O60,O58&lt;$D$10,O60*$D$12,O58&lt;$E$10,$E$12*O60,O58&lt;$F$10,$F$12*O60,O58&gt;$F$10,$G$12*O60)</f>
        <v>-38.613953079776017</v>
      </c>
      <c r="P62" s="143" cm="1">
        <f t="array" ref="P62">_xlfn.IFS(P58&lt;$C$10,$C$12*P60,P58&lt;$D$10,P60*$D$12,P58&lt;$E$10,$E$12*P60,P58&lt;$F$10,$F$12*P60,P58&gt;$F$10,$G$12*P60)</f>
        <v>-40.345845750771865</v>
      </c>
      <c r="Q62" s="143" cm="1">
        <f t="array" ref="Q62">_xlfn.IFS(Q58&lt;$C$10,$C$12*Q60,Q58&lt;$D$10,Q60*$D$12,Q58&lt;$E$10,$E$12*Q60,Q58&lt;$F$10,$F$12*Q60,Q58&gt;$F$10,$G$12*Q60)</f>
        <v>-42.14609973573112</v>
      </c>
      <c r="R62" s="143" cm="1">
        <f t="array" ref="R62">_xlfn.IFS(R58&lt;$C$10,$C$12*R60,R58&lt;$D$10,R60*$D$12,R58&lt;$E$10,$E$12*R60,R58&lt;$F$10,$F$12*R60,R58&gt;$F$10,$G$12*R60)</f>
        <v>-44.016565559459778</v>
      </c>
      <c r="S62" s="143" cm="1">
        <f t="array" ref="S62">_xlfn.IFS(S58&lt;$C$10,$C$12*S60,S58&lt;$D$10,S60*$D$12,S58&lt;$E$10,$E$12*S60,S58&lt;$F$10,$F$12*S60,S58&gt;$F$10,$G$12*S60)</f>
        <v>-45.959066098279408</v>
      </c>
      <c r="T62" s="143" cm="1">
        <f t="array" ref="T62">_xlfn.IFS(T58&lt;$C$10,$C$12*T60,T58&lt;$D$10,T60*$D$12,T58&lt;$E$10,$E$12*T60,T58&lt;$F$10,$F$12*T60,T58&gt;$F$10,$G$12*T60)</f>
        <v>-47.975387968976584</v>
      </c>
      <c r="U62" s="143" cm="1">
        <f t="array" ref="U62">_xlfn.IFS(U58&lt;$C$10,$C$12*U60,U58&lt;$D$10,U60*$D$12,U58&lt;$E$10,$E$12*U60,U58&lt;$F$10,$F$12*U60,U58&gt;$F$10,$G$12*U60)</f>
        <v>-50.067272320655576</v>
      </c>
      <c r="V62" s="143" cm="1">
        <f t="array" ref="V62">_xlfn.IFS(V58&lt;$C$10,$C$12*V60,V58&lt;$D$10,V60*$D$12,V58&lt;$E$10,$E$12*V60,V58&lt;$F$10,$F$12*V60,V58&gt;$F$10,$G$12*V60)</f>
        <v>-52.236405035670941</v>
      </c>
      <c r="W62" s="143" cm="1">
        <f t="array" ref="W62">_xlfn.IFS(W58&lt;$C$10,$C$12*W60,W58&lt;$D$10,W60*$D$12,W58&lt;$E$10,$E$12*W60,W58&lt;$F$10,$F$12*W60,W58&gt;$F$10,$G$12*W60)</f>
        <v>-54.484406352647731</v>
      </c>
      <c r="X62" s="143" cm="1">
        <f t="array" ref="X62">_xlfn.IFS(X58&lt;$C$10,$C$12*X60,X58&lt;$D$10,X60*$D$12,X58&lt;$E$10,$E$12*X60,X58&lt;$F$10,$F$12*X60,X58&gt;$F$10,$G$12*X60)</f>
        <v>-56.81281993220005</v>
      </c>
      <c r="Y62" s="143" cm="1">
        <f t="array" ref="Y62">_xlfn.IFS(Y58&lt;$C$10,$C$12*Y60,Y58&lt;$D$10,Y60*$D$12,Y58&lt;$E$10,$E$12*Y60,Y58&lt;$F$10,$F$12*Y60,Y58&gt;$F$10,$G$12*Y60)</f>
        <v>-59.223101394323571</v>
      </c>
      <c r="Z62" s="143" cm="1">
        <f t="array" ref="Z62">_xlfn.IFS(Z58&lt;$C$10,$C$12*Z60,Z58&lt;$D$10,Z60*$D$12,Z58&lt;$E$10,$E$12*Z60,Z58&lt;$F$10,$F$12*Z60,Z58&gt;$F$10,$G$12*Z60)</f>
        <v>-20.572202121846036</v>
      </c>
      <c r="AA62" s="143" cm="1">
        <f t="array" ref="AA62">_xlfn.IFS(AA58&lt;$C$10,$C$12*AA60,AA58&lt;$D$10,AA60*$D$12,AA58&lt;$E$10,$E$12*AA60,AA58&lt;$F$10,$F$12*AA60,AA58&gt;$F$10,$G$12*AA60)</f>
        <v>-23.488746240066106</v>
      </c>
      <c r="AB62" s="143" cm="1">
        <f t="array" ref="AB62">_xlfn.IFS(AB58&lt;$C$10,$C$12*AB60,AB58&lt;$D$10,AB60*$D$12,AB58&lt;$E$10,$E$12*AB60,AB58&lt;$F$10,$F$12*AB60,AB58&gt;$F$10,$G$12*AB60)</f>
        <v>-26.791369696103938</v>
      </c>
      <c r="AC62" s="143" cm="1">
        <f t="array" ref="AC62">_xlfn.IFS(AC58&lt;$C$10,$C$12*AC60,AC58&lt;$D$10,AC60*$D$12,AC58&lt;$E$10,$E$12*AC60,AC58&lt;$F$10,$F$12*AC60,AC58&gt;$F$10,$G$12*AC60)</f>
        <v>-30.522964154442203</v>
      </c>
      <c r="AD62" s="143" cm="1">
        <f t="array" ref="AD62">_xlfn.IFS(AD58&lt;$C$10,$C$12*AD60,AD58&lt;$D$10,AD60*$D$12,AD58&lt;$E$10,$E$12*AD60,AD58&lt;$F$10,$F$12*AD60,AD58&gt;$F$10,$G$12*AD60)</f>
        <v>-34.728748241299186</v>
      </c>
      <c r="AE62" s="143" cm="1">
        <f t="array" ref="AE62">_xlfn.IFS(AE58&lt;$C$10,$C$12*AE60,AE58&lt;$D$10,AE60*$D$12,AE58&lt;$E$10,$E$12*AE60,AE58&lt;$F$10,$F$12*AE60,AE58&gt;$F$10,$G$12*AE60)</f>
        <v>-39.455626095731049</v>
      </c>
      <c r="AF62" s="143" cm="1">
        <f t="array" ref="AF62">_xlfn.IFS(AF58&lt;$C$10,$C$12*AF60,AF58&lt;$D$10,AF60*$D$12,AF58&lt;$E$10,$E$12*AF60,AF58&lt;$F$10,$F$12*AF60,AF58&gt;$F$10,$G$12*AF60)</f>
        <v>-44.751271437848246</v>
      </c>
      <c r="AG62" s="143" cm="1">
        <f t="array" ref="AG62">_xlfn.IFS(AG58&lt;$C$10,$C$12*AG60,AG58&lt;$D$10,AG60*$D$12,AG58&lt;$E$10,$E$12*AG60,AG58&lt;$F$10,$F$12*AG60,AG58&gt;$F$10,$G$12*AG60)</f>
        <v>-50.662891635403895</v>
      </c>
      <c r="AH62" s="143" cm="1">
        <f t="array" ref="AH62">_xlfn.IFS(AH58&lt;$C$10,$C$12*AH60,AH58&lt;$D$10,AH60*$D$12,AH58&lt;$E$10,$E$12*AH60,AH58&lt;$F$10,$F$12*AH60,AH58&gt;$F$10,$G$12*AH60)</f>
        <v>-57.235633945170207</v>
      </c>
      <c r="AI62" s="143" cm="1">
        <f t="array" ref="AI62">_xlfn.IFS(AI58&lt;$C$10,$C$12*AI60,AI58&lt;$D$10,AI60*$D$12,AI58&lt;$E$10,$E$12*AI60,AI58&lt;$F$10,$F$12*AI60,AI58&gt;$F$10,$G$12*AI60)</f>
        <v>-64.510611919703521</v>
      </c>
      <c r="AJ62" s="143" cm="1">
        <f t="array" ref="AJ62">_xlfn.IFS(AJ58&lt;$C$10,$C$12*AJ60,AJ58&lt;$D$10,AJ60*$D$12,AJ58&lt;$E$10,$E$12*AJ60,AJ58&lt;$F$10,$F$12*AJ60,AJ58&gt;$F$10,$G$12*AJ60)</f>
        <v>-72.52255608755722</v>
      </c>
      <c r="AK62" s="143" cm="1">
        <f t="array" ref="AK62">_xlfn.IFS(AK58&lt;$C$10,$C$12*AK60,AK58&lt;$D$10,AK60*$D$12,AK58&lt;$E$10,$E$12*AK60,AK58&lt;$F$10,$F$12*AK60,AK58&gt;$F$10,$G$12*AK60)</f>
        <v>-81.297131044101661</v>
      </c>
      <c r="AL62" s="143" cm="1">
        <f t="array" ref="AL62">_xlfn.IFS(AL58&lt;$C$10,$C$12*AL60,AL58&lt;$D$10,AL60*$D$12,AL58&lt;$E$10,$E$12*AL60,AL58&lt;$F$10,$F$12*AL60,AL58&gt;$F$10,$G$12*AL60)</f>
        <v>-90.848011294316166</v>
      </c>
      <c r="AM62" s="143" cm="1">
        <f t="array" ref="AM62">_xlfn.IFS(AM58&lt;$C$10,$C$12*AM60,AM58&lt;$D$10,AM60*$D$12,AM58&lt;$E$10,$E$12*AM60,AM58&lt;$F$10,$F$12*AM60,AM58&gt;$F$10,$G$12*AM60)</f>
        <v>-101.17386852601072</v>
      </c>
      <c r="AN62" s="143" cm="1">
        <f t="array" ref="AN62">_xlfn.IFS(AN58&lt;$C$10,$C$12*AN60,AN58&lt;$D$10,AN60*$D$12,AN58&lt;$E$10,$E$12*AN60,AN58&lt;$F$10,$F$12*AN60,AN58&gt;$F$10,$G$12*AN60)</f>
        <v>-112.25548813590493</v>
      </c>
      <c r="AO62" s="143" cm="1">
        <f t="array" ref="AO62">_xlfn.IFS(AO58&lt;$C$10,$C$12*AO60,AO58&lt;$D$10,AO60*$D$12,AO58&lt;$E$10,$E$12*AO60,AO58&lt;$F$10,$F$12*AO60,AO58&gt;$F$10,$G$12*AO60)</f>
        <v>-124.05329350963854</v>
      </c>
      <c r="AP62" s="143" cm="1">
        <f t="array" ref="AP62">_xlfn.IFS(AP58&lt;$C$10,$C$12*AP60,AP58&lt;$D$10,AP60*$D$12,AP58&lt;$E$10,$E$12*AP60,AP58&lt;$F$10,$F$12*AP60,AP58&gt;$F$10,$G$12*AP60)</f>
        <v>-136.50559968384889</v>
      </c>
      <c r="AQ62" s="143" cm="1">
        <f t="array" ref="AQ62">_xlfn.IFS(AQ58&lt;$C$10,$C$12*AQ60,AQ58&lt;$D$10,AQ60*$D$12,AQ58&lt;$E$10,$E$12*AQ60,AQ58&lt;$F$10,$F$12*AQ60,AQ58&gt;$F$10,$G$12*AQ60)</f>
        <v>-149.52792813840736</v>
      </c>
      <c r="AR62" s="143" cm="1">
        <f t="array" ref="AR62">_xlfn.IFS(AR58&lt;$C$10,$C$12*AR60,AR58&lt;$D$10,AR60*$D$12,AR58&lt;$E$10,$E$12*AR60,AR58&lt;$F$10,$F$12*AR60,AR58&gt;$F$10,$G$12*AR60)</f>
        <v>-163.01367684182259</v>
      </c>
      <c r="AS62" s="143" cm="1">
        <f t="array" ref="AS62">_xlfn.IFS(AS58&lt;$C$10,$C$12*AS60,AS58&lt;$D$10,AS60*$D$12,AS58&lt;$E$10,$E$12*AS60,AS58&lt;$F$10,$F$12*AS60,AS58&gt;$F$10,$G$12*AS60)</f>
        <v>-176.83634483309993</v>
      </c>
      <c r="AT62" s="143" cm="1">
        <f t="array" ref="AT62">_xlfn.IFS(AT58&lt;$C$10,$C$12*AT60,AT58&lt;$D$10,AT60*$D$12,AT58&lt;$E$10,$E$12*AT60,AT58&lt;$F$10,$F$12*AT60,AT58&gt;$F$10,$G$12*AT60)</f>
        <v>-190.85335941649251</v>
      </c>
      <c r="AU62" s="143" cm="1">
        <f t="array" ref="AU62">_xlfn.IFS(AU58&lt;$C$10,$C$12*AU60,AU58&lt;$D$10,AU60*$D$12,AU58&lt;$E$10,$E$12*AU60,AU58&lt;$F$10,$F$12*AU60,AU58&gt;$F$10,$G$12*AU60)</f>
        <v>-204.91136140874201</v>
      </c>
      <c r="AV62" s="143" cm="1">
        <f t="array" ref="AV62">_xlfn.IFS(AV58&lt;$C$10,$C$12*AV60,AV58&lt;$D$10,AV60*$D$12,AV58&lt;$E$10,$E$12*AV60,AV58&lt;$F$10,$F$12*AV60,AV58&gt;$F$10,$G$12*AV60)</f>
        <v>-218.85259920629971</v>
      </c>
      <c r="AW62" s="143" cm="1">
        <f t="array" ref="AW62">_xlfn.IFS(AW58&lt;=$C$10,$C$12*AW60,AW58&lt;=$D$10,AW60*$D$12,AW58&lt;=$E$10,$E$12*AW60,AW58&lt;=$F$10,$F$12*AW60,AW58&gt;$F$10,$G$12*AW60)</f>
        <v>-232.52190501550336</v>
      </c>
      <c r="AX62" s="143" cm="1">
        <f t="array" ref="AX62">_xlfn.IFS(AX58&lt;=$C$10,$C$12*AX60,AX58&lt;=$D$10,AX60*$D$12,AX58&lt;=$E$10,$E$12*AX60,AX58&lt;=$F$10,$F$12*AX60,AX58&gt;$F$10,$G$12*AX60)</f>
        <v>-245.77361624301335</v>
      </c>
      <c r="AY62" s="143" cm="1">
        <f t="array" ref="AY62">_xlfn.IFS(AY58&lt;=$C$10,$C$12*AY60,AY58&lt;=$D$10,AY60*$D$12,AY58&lt;=$E$10,$E$12*AY60,AY58&lt;=$F$10,$F$12*AY60,AY58&gt;$F$10,$G$12*AY60)</f>
        <v>-51.695558100599627</v>
      </c>
      <c r="AZ62" s="143" cm="1">
        <f t="array" ref="AZ62">_xlfn.IFS(AZ58&lt;=$C$10,$C$12*AZ60,AZ58&lt;=$D$10,AZ60*$D$12,AZ58&lt;=$E$10,$E$12*AZ60,AZ58&lt;=$F$10,$F$12*AZ60,AZ58&gt;$F$10,$G$12*AZ60)</f>
        <v>-56.172852685048618</v>
      </c>
      <c r="BA62" s="143" cm="1">
        <f t="array" ref="BA62">_xlfn.IFS(BA58&lt;=$C$10,$C$12*BA60,BA58&lt;=$D$10,BA60*$D$12,BA58&lt;=$E$10,$E$12*BA60,BA58&lt;=$F$10,$F$12*BA60,BA58&gt;$F$10,$G$12*BA60)</f>
        <v>-60.534915937655512</v>
      </c>
      <c r="BB62" s="143" cm="1">
        <f t="array" ref="BB62">_xlfn.IFS(BB58&lt;=$C$10,$C$12*BB60,BB58&lt;=$D$10,BB60*$D$12,BB58&lt;=$E$10,$E$12*BB60,BB58&lt;=$F$10,$F$12*BB60,BB58&gt;$F$10,$G$12*BB60)</f>
        <v>-64.707597870652023</v>
      </c>
      <c r="BC62" s="143" cm="1">
        <f t="array" ref="BC62">_xlfn.IFS(BC58&lt;=$C$10,$C$12*BC60,BC58&lt;=$D$10,BC60*$D$12,BC58&lt;=$E$10,$E$12*BC60,BC58&lt;=$F$10,$F$12*BC60,BC58&gt;$F$10,$G$12*BC60)</f>
        <v>-68.627895021695892</v>
      </c>
      <c r="BD62" s="143" cm="1">
        <f t="array" ref="BD62">_xlfn.IFS(BD58&lt;=$C$10,$C$12*BD60,BD58&lt;=$D$10,BD60*$D$12,BD58&lt;=$E$10,$E$12*BD60,BD58&lt;=$F$10,$F$12*BD60,BD58&gt;$F$10,$G$12*BD60)</f>
        <v>-72.247619125600295</v>
      </c>
      <c r="BE62" s="143" cm="1">
        <f t="array" ref="BE62">_xlfn.IFS(BE58&lt;=$C$10,$C$12*BE60,BE58&lt;=$D$10,BE60*$D$12,BE58&lt;=$E$10,$E$12*BE60,BE58&lt;=$F$10,$F$12*BE60,BE58&gt;$F$10,$G$12*BE60)</f>
        <v>-75.535229820828746</v>
      </c>
      <c r="BF62" s="143" cm="1">
        <f t="array" ref="BF62">_xlfn.IFS(BF58&lt;=$C$10,$C$12*BF60,BF58&lt;=$D$10,BF60*$D$12,BF58&lt;=$E$10,$E$12*BF60,BF58&lt;=$F$10,$F$12*BF60,BF58&gt;$F$10,$G$12*BF60)</f>
        <v>-78.47578159861537</v>
      </c>
      <c r="BG62" s="143" cm="1">
        <f t="array" ref="BG62">_xlfn.IFS(BG58&lt;=$C$10,$C$12*BG60,BG58&lt;=$D$10,BG60*$D$12,BG58&lt;=$E$10,$E$12*BG60,BG58&lt;=$F$10,$F$12*BG60,BG58&gt;$F$10,$G$12*BG60)</f>
        <v>-81.069283507325139</v>
      </c>
      <c r="BH62" s="143" cm="1">
        <f t="array" ref="BH62">_xlfn.IFS(BH58&lt;=$C$10,$C$12*BH60,BH58&lt;=$D$10,BH60*$D$12,BH58&lt;=$E$10,$E$12*BH60,BH58&lt;=$F$10,$F$12*BH60,BH58&gt;$F$10,$G$12*BH60)</f>
        <v>-83.327989916934783</v>
      </c>
      <c r="BI62" s="143" cm="1">
        <f t="array" ref="BI62">_xlfn.IFS(BI58&lt;=$C$10,$C$12*BI60,BI58&lt;=$D$10,BI60*$D$12,BI58&lt;=$E$10,$E$12*BI60,BI58&lt;=$F$10,$F$12*BI60,BI58&gt;$F$10,$G$12*BI60)</f>
        <v>-85.273200193958814</v>
      </c>
      <c r="BJ62" s="143" cm="1">
        <f t="array" ref="BJ62">_xlfn.IFS(BJ58&lt;=$C$10,$C$12*BJ60,BJ58&lt;=$D$10,BJ60*$D$12,BJ58&lt;=$E$10,$E$12*BJ60,BJ58&lt;=$F$10,$F$12*BJ60,BJ58&gt;$F$10,$G$12*BJ60)</f>
        <v>-86.932070888173044</v>
      </c>
      <c r="BK62" s="143" cm="1">
        <f t="array" ref="BK62">_xlfn.IFS(BK58&lt;=$C$10,$C$12*BK60,BK58&lt;=$D$10,BK60*$D$12,BK58&lt;=$E$10,$E$12*BK60,BK58&lt;=$F$10,$F$12*BK60,BK58&gt;$F$10,$G$12*BK60)</f>
        <v>-88.33479445911324</v>
      </c>
      <c r="BL62" s="143" cm="1">
        <f t="array" ref="BL62">_xlfn.IFS(BL58&lt;=$C$10,$C$12*BL60,BL58&lt;=$D$10,BL60*$D$12,BL58&lt;=$E$10,$E$12*BL60,BL58&lt;=$F$10,$F$12*BL60,BL58&gt;$F$10,$G$12*BL60)</f>
        <v>-89.51233358207719</v>
      </c>
      <c r="BM62" s="143" cm="1">
        <f t="array" ref="BM62">_xlfn.IFS(BM58&lt;=$C$10,$C$12*BM60,BM58&lt;=$D$10,BM60*$D$12,BM58&lt;=$E$10,$E$12*BM60,BM58&lt;=$F$10,$F$12*BM60,BM58&gt;$F$10,$G$12*BM60)</f>
        <v>-90.494761236053733</v>
      </c>
      <c r="BN62" s="143" cm="1">
        <f t="array" ref="BN62">_xlfn.IFS(BN58&lt;=$C$10,$C$12*BN60,BN58&lt;=$D$10,BN60*$D$12,BN58&lt;=$E$10,$E$12*BN60,BN58&lt;=$F$10,$F$12*BN60,BN58&gt;$F$10,$G$12*BN60)</f>
        <v>-91.310162248563188</v>
      </c>
      <c r="BO62" s="143" cm="1">
        <f t="array" ref="BO62">_xlfn.IFS(BO58&lt;=$C$10,$C$12*BO60,BO58&lt;=$D$10,BO60*$D$12,BO58&lt;=$E$10,$E$12*BO60,BO58&lt;=$F$10,$F$12*BO60,BO58&gt;$F$10,$G$12*BO60)</f>
        <v>-91.984001616072334</v>
      </c>
      <c r="BP62" s="143" cm="1">
        <f t="array" ref="BP62">_xlfn.IFS(BP58&lt;=$C$10,$C$12*BP60,BP58&lt;=$D$10,BP60*$D$12,BP58&lt;=$E$10,$E$12*BP60,BP58&lt;=$F$10,$F$12*BP60,BP58&gt;$F$10,$G$12*BP60)</f>
        <v>-92.538848816514871</v>
      </c>
      <c r="BQ62" s="143" cm="1">
        <f t="array" ref="BQ62">_xlfn.IFS(BQ58&lt;=$C$10,$C$12*BQ60,BQ58&lt;=$D$10,BQ60*$D$12,BQ58&lt;=$E$10,$E$12*BQ60,BQ58&lt;=$F$10,$F$12*BQ60,BQ58&gt;$F$10,$G$12*BQ60)</f>
        <v>-92.994353011081088</v>
      </c>
      <c r="BR62" s="143" cm="1">
        <f t="array" ref="BR62">_xlfn.IFS(BR58&lt;=$C$10,$C$12*BR60,BR58&lt;=$D$10,BR60*$D$12,BR58&lt;=$E$10,$E$12*BR60,BR58&lt;=$F$10,$F$12*BR60,BR58&gt;$F$10,$G$12*BR60)</f>
        <v>-93.367380699287366</v>
      </c>
    </row>
    <row r="63" spans="1:70" ht="12.75">
      <c r="B63" s="106" t="s">
        <v>132</v>
      </c>
      <c r="C63" s="110">
        <f>SUM(C60:C62)</f>
        <v>28.972000000000001</v>
      </c>
      <c r="D63" s="110">
        <f>SUM(D60:D62)</f>
        <v>41.950643625120001</v>
      </c>
      <c r="E63" s="110">
        <f>SUM(E60:E62)</f>
        <v>60.70524330138467</v>
      </c>
      <c r="F63" s="110">
        <f>SUM(F60:F62)</f>
        <v>87.764643927508146</v>
      </c>
      <c r="G63" s="110">
        <f>SUM(G60:G62)</f>
        <v>126.71954940422626</v>
      </c>
      <c r="H63" s="110">
        <f>SUM(H60:H62)</f>
        <v>188.95527501225467</v>
      </c>
      <c r="I63" s="110">
        <f>SUM(I60:I62)</f>
        <v>197.51043636399348</v>
      </c>
      <c r="J63" s="110">
        <f>SUM(J60:J62)</f>
        <v>206.41069887037577</v>
      </c>
      <c r="K63" s="110">
        <f>SUM(K60:K62)</f>
        <v>215.66609939869065</v>
      </c>
      <c r="L63" s="144">
        <f>SUM(L60:L62)</f>
        <v>225.28660770787906</v>
      </c>
      <c r="M63" s="110">
        <f>SUM(M60:M62)</f>
        <v>235.2820867029599</v>
      </c>
      <c r="N63" s="110">
        <f>SUM(N60:N62)</f>
        <v>257.42635386517344</v>
      </c>
      <c r="O63" s="110">
        <f>SUM(O60:O62)</f>
        <v>268.97230500514576</v>
      </c>
      <c r="P63" s="110">
        <f>SUM(P60:P62)</f>
        <v>280.97399823820746</v>
      </c>
      <c r="Q63" s="110">
        <f>SUM(Q60:Q62)</f>
        <v>293.44377039639852</v>
      </c>
      <c r="R63" s="110">
        <f>SUM(R60:R62)</f>
        <v>306.3937739885294</v>
      </c>
      <c r="S63" s="110">
        <f>SUM(S60:S62)</f>
        <v>319.83591979317725</v>
      </c>
      <c r="T63" s="110">
        <f>SUM(T60:T62)</f>
        <v>333.78181547103719</v>
      </c>
      <c r="U63" s="110">
        <f>SUM(U60:U62)</f>
        <v>348.24270023780628</v>
      </c>
      <c r="V63" s="110">
        <f>SUM(V60:V62)</f>
        <v>363.2293756843182</v>
      </c>
      <c r="W63" s="110">
        <f>SUM(W60:W62)</f>
        <v>378.75213288133369</v>
      </c>
      <c r="X63" s="144">
        <f>SUM(X60:X62)</f>
        <v>394.82067596215717</v>
      </c>
      <c r="Y63" s="110">
        <f>SUM(Y60:Y62)</f>
        <v>411.44404243692071</v>
      </c>
      <c r="Z63" s="110">
        <f>SUM(Z60:Z62)</f>
        <v>469.77492480132213</v>
      </c>
      <c r="AA63" s="110">
        <f>SUM(AA60:AA62)</f>
        <v>535.82739392207873</v>
      </c>
      <c r="AB63" s="110">
        <f>SUM(AB60:AB62)</f>
        <v>610.45928308884402</v>
      </c>
      <c r="AC63" s="110">
        <f>SUM(AC60:AC62)</f>
        <v>694.57496482598367</v>
      </c>
      <c r="AD63" s="110">
        <f>SUM(AD60:AD62)</f>
        <v>789.11252191462086</v>
      </c>
      <c r="AE63" s="110">
        <f>SUM(AE60:AE62)</f>
        <v>895.02542875696486</v>
      </c>
      <c r="AF63" s="110">
        <f>SUM(AF60:AF62)</f>
        <v>1013.2578327080779</v>
      </c>
      <c r="AG63" s="110">
        <f>SUM(AG60:AG62)</f>
        <v>1144.7126789034041</v>
      </c>
      <c r="AH63" s="110">
        <f>SUM(AH60:AH62)</f>
        <v>1290.2122383940705</v>
      </c>
      <c r="AI63" s="110">
        <f>SUM(AI60:AI62)</f>
        <v>1450.4511217511445</v>
      </c>
      <c r="AJ63" s="144">
        <f>SUM(AJ60:AJ62)</f>
        <v>1625.942620882033</v>
      </c>
      <c r="AK63" s="110">
        <f>SUM(AK60:AK62)</f>
        <v>1816.9602258863233</v>
      </c>
      <c r="AL63" s="110">
        <f>SUM(AL60:AL62)</f>
        <v>2023.4773705202142</v>
      </c>
      <c r="AM63" s="110">
        <f>SUM(AM60:AM62)</f>
        <v>2245.1097627180984</v>
      </c>
      <c r="AN63" s="110">
        <f>SUM(AN60:AN62)</f>
        <v>2481.0658701927705</v>
      </c>
      <c r="AO63" s="110">
        <f>SUM(AO60:AO62)</f>
        <v>2730.1119936769778</v>
      </c>
      <c r="AP63" s="110">
        <f>SUM(AP60:AP62)</f>
        <v>2990.5585627681471</v>
      </c>
      <c r="AQ63" s="110">
        <f>SUM(AQ60:AQ62)</f>
        <v>3260.2735368364515</v>
      </c>
      <c r="AR63" s="110">
        <f>SUM(AR60:AR62)</f>
        <v>3536.7268966619981</v>
      </c>
      <c r="AS63" s="110">
        <f>SUM(AS60:AS62)</f>
        <v>3817.0671883298501</v>
      </c>
      <c r="AT63" s="110">
        <f>SUM(AT60:AT62)</f>
        <v>4098.2272281748401</v>
      </c>
      <c r="AU63" s="110">
        <f>SUM(AU60:AU62)</f>
        <v>4377.0519841259938</v>
      </c>
      <c r="AV63" s="144">
        <f>SUM(AV60:AV62)</f>
        <v>4650.4381003100671</v>
      </c>
      <c r="AW63" s="110">
        <f>SUM(AW60:AW62)</f>
        <v>4915.4723248602668</v>
      </c>
      <c r="AX63" s="110">
        <f>SUM(AX60:AX62)</f>
        <v>5169.5558100599628</v>
      </c>
      <c r="AY63" s="110">
        <f>SUM(AY60:AY62)</f>
        <v>5617.285268504862</v>
      </c>
      <c r="AZ63" s="110">
        <f>SUM(AZ60:AZ62)</f>
        <v>6053.4915937655514</v>
      </c>
      <c r="BA63" s="110">
        <f>SUM(BA60:BA62)</f>
        <v>6470.7597870652025</v>
      </c>
      <c r="BB63" s="110">
        <f>SUM(BB60:BB62)</f>
        <v>6862.7895021695895</v>
      </c>
      <c r="BC63" s="110">
        <f>SUM(BC60:BC62)</f>
        <v>7224.7619125600295</v>
      </c>
      <c r="BD63" s="110">
        <f>SUM(BD60:BD62)</f>
        <v>7553.5229820828745</v>
      </c>
      <c r="BE63" s="110">
        <f>SUM(BE60:BE62)</f>
        <v>7847.5781598615367</v>
      </c>
      <c r="BF63" s="110">
        <f>SUM(BF60:BF62)</f>
        <v>8106.9283507325135</v>
      </c>
      <c r="BG63" s="110">
        <f>SUM(BG60:BG62)</f>
        <v>8332.7989916934785</v>
      </c>
      <c r="BH63" s="110">
        <f>SUM(BH60:BH62)</f>
        <v>8527.3200193958819</v>
      </c>
      <c r="BI63" s="110">
        <f>SUM(BI60:BI62)</f>
        <v>8693.2070888173039</v>
      </c>
      <c r="BJ63" s="110">
        <f>SUM(BJ60:BJ62)</f>
        <v>8833.4794459113236</v>
      </c>
      <c r="BK63" s="110">
        <f>SUM(BK60:BK62)</f>
        <v>8951.233358207719</v>
      </c>
      <c r="BL63" s="110">
        <f>SUM(BL60:BL62)</f>
        <v>9049.4761236053728</v>
      </c>
      <c r="BM63" s="110">
        <f>SUM(BM60:BM62)</f>
        <v>9131.0162248563192</v>
      </c>
      <c r="BN63" s="110">
        <f>SUM(BN60:BN62)</f>
        <v>9198.4001616072328</v>
      </c>
      <c r="BO63" s="110">
        <f>SUM(BO60:BO62)</f>
        <v>9253.8848816514874</v>
      </c>
      <c r="BP63" s="110">
        <f>SUM(BP60:BP62)</f>
        <v>9299.4353011081093</v>
      </c>
      <c r="BQ63" s="110">
        <f>SUM(BQ60:BQ62)</f>
        <v>9336.7380699287369</v>
      </c>
      <c r="BR63" s="110">
        <f>SUM(BR60:BR62)</f>
        <v>9367.2247474860651</v>
      </c>
    </row>
    <row r="64" spans="1:70" ht="12.75">
      <c r="B64" s="106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</row>
    <row r="65" spans="1:72" ht="15.75">
      <c r="B65" s="160" t="s">
        <v>184</v>
      </c>
      <c r="C65" s="145"/>
      <c r="D65" s="145"/>
      <c r="E65" s="145"/>
      <c r="F65" s="145"/>
      <c r="G65" s="145"/>
      <c r="H65" s="145"/>
      <c r="I65" s="145"/>
      <c r="J65" s="146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6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6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6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5"/>
      <c r="BH65" s="145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</row>
    <row r="66" spans="1:72" ht="15.95" customHeight="1">
      <c r="B66" s="153" t="s">
        <v>130</v>
      </c>
      <c r="C66" s="149">
        <v>2023</v>
      </c>
      <c r="D66" s="149"/>
      <c r="E66" s="149"/>
      <c r="F66" s="149"/>
      <c r="G66" s="149"/>
      <c r="H66" s="149"/>
      <c r="I66" s="149"/>
      <c r="J66" s="149"/>
      <c r="K66" s="149">
        <v>2024</v>
      </c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>
        <v>2025</v>
      </c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>
        <v>2026</v>
      </c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50">
        <v>2027</v>
      </c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>
        <v>2028</v>
      </c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</row>
    <row r="67" spans="1:72" ht="16.5" customHeight="1">
      <c r="B67" s="145"/>
      <c r="C67" s="152">
        <v>45047</v>
      </c>
      <c r="D67" s="152">
        <v>45078</v>
      </c>
      <c r="E67" s="152">
        <v>45108</v>
      </c>
      <c r="F67" s="152">
        <v>45139</v>
      </c>
      <c r="G67" s="152">
        <v>45170</v>
      </c>
      <c r="H67" s="152">
        <v>45200</v>
      </c>
      <c r="I67" s="152">
        <v>45231</v>
      </c>
      <c r="J67" s="152">
        <v>45261</v>
      </c>
      <c r="K67" s="152">
        <v>45292</v>
      </c>
      <c r="L67" s="152">
        <v>45323</v>
      </c>
      <c r="M67" s="152">
        <v>45352</v>
      </c>
      <c r="N67" s="152">
        <v>45383</v>
      </c>
      <c r="O67" s="152">
        <v>45413</v>
      </c>
      <c r="P67" s="152">
        <v>45444</v>
      </c>
      <c r="Q67" s="152">
        <v>45474</v>
      </c>
      <c r="R67" s="152">
        <v>45505</v>
      </c>
      <c r="S67" s="152">
        <v>45536</v>
      </c>
      <c r="T67" s="152">
        <v>45566</v>
      </c>
      <c r="U67" s="152">
        <v>45597</v>
      </c>
      <c r="V67" s="152">
        <v>45627</v>
      </c>
      <c r="W67" s="152">
        <v>45658</v>
      </c>
      <c r="X67" s="152">
        <v>45689</v>
      </c>
      <c r="Y67" s="152">
        <v>45717</v>
      </c>
      <c r="Z67" s="152">
        <v>45748</v>
      </c>
      <c r="AA67" s="152">
        <v>45778</v>
      </c>
      <c r="AB67" s="152">
        <v>45809</v>
      </c>
      <c r="AC67" s="152">
        <v>45839</v>
      </c>
      <c r="AD67" s="152">
        <v>45870</v>
      </c>
      <c r="AE67" s="152">
        <v>45901</v>
      </c>
      <c r="AF67" s="152">
        <v>45931</v>
      </c>
      <c r="AG67" s="152">
        <v>45962</v>
      </c>
      <c r="AH67" s="152">
        <v>45992</v>
      </c>
      <c r="AI67" s="152">
        <v>46023</v>
      </c>
      <c r="AJ67" s="152">
        <v>46054</v>
      </c>
      <c r="AK67" s="152">
        <v>46082</v>
      </c>
      <c r="AL67" s="152">
        <v>46113</v>
      </c>
      <c r="AM67" s="152">
        <v>46143</v>
      </c>
      <c r="AN67" s="152">
        <v>46174</v>
      </c>
      <c r="AO67" s="152">
        <v>46204</v>
      </c>
      <c r="AP67" s="152">
        <v>46235</v>
      </c>
      <c r="AQ67" s="152">
        <v>46266</v>
      </c>
      <c r="AR67" s="152">
        <v>46296</v>
      </c>
      <c r="AS67" s="152">
        <v>46327</v>
      </c>
      <c r="AT67" s="152">
        <v>46357</v>
      </c>
      <c r="AU67" s="152">
        <v>46388</v>
      </c>
      <c r="AV67" s="152">
        <v>46419</v>
      </c>
      <c r="AW67" s="152">
        <v>46447</v>
      </c>
      <c r="AX67" s="152">
        <v>46478</v>
      </c>
      <c r="AY67" s="152">
        <v>46508</v>
      </c>
      <c r="AZ67" s="152">
        <v>46539</v>
      </c>
      <c r="BA67" s="152">
        <v>46569</v>
      </c>
      <c r="BB67" s="152">
        <v>46600</v>
      </c>
      <c r="BC67" s="152">
        <v>46631</v>
      </c>
      <c r="BD67" s="152">
        <v>46661</v>
      </c>
      <c r="BE67" s="152">
        <v>46692</v>
      </c>
      <c r="BF67" s="152">
        <v>46722</v>
      </c>
      <c r="BG67" s="152">
        <v>46753</v>
      </c>
      <c r="BH67" s="152">
        <v>46784</v>
      </c>
      <c r="BI67" s="152">
        <v>46813</v>
      </c>
      <c r="BJ67" s="152">
        <v>46844</v>
      </c>
      <c r="BK67" s="152">
        <v>46874</v>
      </c>
      <c r="BL67" s="152">
        <v>46905</v>
      </c>
      <c r="BM67" s="152">
        <v>46935</v>
      </c>
      <c r="BN67" s="152">
        <v>46966</v>
      </c>
      <c r="BO67" s="152">
        <v>46997</v>
      </c>
      <c r="BP67" s="152">
        <v>47027</v>
      </c>
      <c r="BQ67" s="152">
        <v>47058</v>
      </c>
      <c r="BR67" s="152">
        <v>47088</v>
      </c>
    </row>
    <row r="68" spans="1:72" s="124" customFormat="1" ht="7.5" customHeight="1">
      <c r="A68" s="123"/>
    </row>
    <row r="69" spans="1:72" ht="12.75">
      <c r="B69" s="168" t="s">
        <v>129</v>
      </c>
      <c r="C69" s="169" cm="1">
        <f t="array" ref="C69">_xlfn.IFS(C48&lt;=$C$18,C55*$C$20,C48&lt;=$D$18,C55*$D$20,C48&lt;=$E$18,C55*$E$20,C48&lt;=$F$18,C55*$F$20,C48&lt;=$G$18,C55*$G$20,C48&lt;=$H$18,C55*$H$20,C48&gt;$H$18,C55*$I$20)</f>
        <v>0</v>
      </c>
      <c r="D69" s="169" cm="1">
        <f t="array" ref="D69">_xlfn.IFS(D48&lt;=$C$18,D55*$C$20,D48&lt;=$D$18,D55*$D$20,D48&lt;=$E$18,D55*$E$20,D48&lt;=$F$18,D55*$F$20,D48&lt;=$G$18,D55*$G$20,D48&lt;=$H$18,D55*$H$20,D48&gt;$H$18,D55*$I$20)</f>
        <v>0</v>
      </c>
      <c r="E69" s="169" cm="1">
        <f t="array" ref="E69">_xlfn.IFS(E48&lt;=$C$18,E55*$C$20,E48&lt;=$D$18,E55*$D$20,E48&lt;=$E$18,E55*$E$20,E48&lt;=$F$18,E55*$F$20,E48&lt;=$G$18,E55*$G$20,E48&lt;=$H$18,E55*$H$20,E48&gt;$H$18,E55*$I$20)</f>
        <v>0</v>
      </c>
      <c r="F69" s="169" cm="1">
        <f t="array" ref="F69">_xlfn.IFS(F48&lt;=$C$18,F55*$C$20,F48&lt;=$D$18,F55*$D$20,F48&lt;=$E$18,F55*$E$20,F48&lt;=$F$18,F55*$F$20,F48&lt;=$G$18,F55*$G$20,F48&lt;=$H$18,F55*$H$20,F48&gt;$H$18,F55*$I$20)</f>
        <v>0</v>
      </c>
      <c r="G69" s="169" cm="1">
        <f t="array" ref="G69">_xlfn.IFS(G48&lt;=$C$18,G55*$C$20,G48&lt;=$D$18,G55*$D$20,G48&lt;=$E$18,G55*$E$20,G48&lt;=$F$18,G55*$F$20,G48&lt;=$G$18,G55*$G$20,G48&lt;=$H$18,G55*$H$20,G48&gt;$H$18,G55*$I$20)</f>
        <v>0</v>
      </c>
      <c r="H69" s="169" cm="1">
        <f t="array" ref="H69">_xlfn.IFS(H48&lt;=$C$18,H55*$C$20,H48&lt;=$D$18,H55*$D$20,H48&lt;=$E$18,H55*$E$20,H48&lt;=$F$18,H55*$F$20,H48&lt;=$G$18,H55*$G$20,H48&lt;=$H$18,H55*$H$20,H48&gt;$H$18,H55*$I$20)</f>
        <v>0</v>
      </c>
      <c r="I69" s="169" cm="1">
        <f t="array" ref="I69">_xlfn.IFS(I48&lt;=$C$18,I55*$C$20,I48&lt;=$D$18,I55*$D$20,I48&lt;=$E$18,I55*$E$20,I48&lt;=$F$18,I55*$F$20,I48&lt;=$G$18,I55*$G$20,I48&lt;=$H$18,I55*$H$20,I48&gt;$H$18,I55*$I$20)</f>
        <v>0</v>
      </c>
      <c r="J69" s="169" cm="1">
        <f t="array" ref="J69">_xlfn.IFS(J48&lt;=$C$18,J55*$C$20,J48&lt;=$D$18,J55*$D$20,J48&lt;=$E$18,J55*$E$20,J48&lt;=$F$18,J55*$F$20,J48&lt;=$G$18,J55*$G$20,J48&lt;=$H$18,J55*$H$20,J48&gt;$H$18,J55*$I$20)</f>
        <v>0</v>
      </c>
      <c r="K69" s="169" cm="1">
        <f t="array" ref="K69">_xlfn.IFS(K48&lt;=$C$18,K55*$C$20,K48&lt;=$D$18,K55*$D$20,K48&lt;=$E$18,K55*$E$20,K48&lt;=$F$18,K55*$F$20,K48&lt;=$G$18,K55*$G$20,K48&lt;=$H$18,K55*$H$20,K48&gt;$H$18,K55*$I$20)</f>
        <v>0</v>
      </c>
      <c r="L69" s="169" cm="1">
        <f t="array" ref="L69">_xlfn.IFS(L48&lt;=$C$18,L55*$C$20,L48&lt;=$D$18,L55*$D$20,L48&lt;=$E$18,L55*$E$20,L48&lt;=$F$18,L55*$F$20,L48&lt;=$G$18,L55*$G$20,L48&lt;=$H$18,L55*$H$20,L48&gt;$H$18,L55*$I$20)</f>
        <v>0</v>
      </c>
      <c r="M69" s="169" cm="1">
        <f t="array" ref="M69">_xlfn.IFS(M48&lt;=$C$18,M55*$C$20,M48&lt;=$D$18,M55*$D$20,M48&lt;=$E$18,M55*$E$20,M48&lt;=$F$18,M55*$F$20,M48&lt;=$G$18,M55*$G$20,M48&lt;=$H$18,M55*$H$20,M48&gt;$H$18,M55*$I$20)</f>
        <v>0</v>
      </c>
      <c r="N69" s="169" cm="1">
        <f t="array" ref="N69">_xlfn.IFS(N48&lt;=$C$18,N55*$C$20,N48&lt;=$D$18,N55*$D$20,N48&lt;=$E$18,N55*$E$20,N48&lt;=$F$18,N55*$F$20,N48&lt;=$G$18,N55*$G$20,N48&lt;=$H$18,N55*$H$20,N48&gt;$H$18,N55*$I$20)</f>
        <v>0</v>
      </c>
      <c r="O69" s="169" cm="1">
        <f t="array" ref="O69">_xlfn.IFS(O48&lt;=$C$18,O55*$C$20,O48&lt;=$D$18,O55*$D$20,O48&lt;=$E$18,O55*$E$20,O48&lt;=$F$18,O55*$F$20,O48&lt;=$G$18,O55*$G$20,O48&lt;=$H$18,O55*$H$20,O48&gt;$H$18,O55*$I$20)</f>
        <v>2966.0420106179099</v>
      </c>
      <c r="P69" s="169" cm="1">
        <f t="array" ref="P69">_xlfn.IFS(P48&lt;=$C$18,P55*$C$20,P48&lt;=$D$18,P55*$D$20,P48&lt;=$E$18,P55*$E$20,P48&lt;=$F$18,P55*$F$20,P48&lt;=$G$18,P55*$G$20,P48&lt;=$H$18,P55*$H$20,P48&gt;$H$18,P55*$I$20)</f>
        <v>3259.1194410866838</v>
      </c>
      <c r="Q69" s="169" cm="1">
        <f t="array" ref="Q69">_xlfn.IFS(Q48&lt;=$C$18,Q55*$C$20,Q48&lt;=$D$18,Q55*$D$20,Q48&lt;=$E$18,Q55*$E$20,Q48&lt;=$F$18,Q55*$F$20,Q48&lt;=$G$18,Q55*$G$20,Q48&lt;=$H$18,Q55*$H$20,Q48&gt;$H$18,Q55*$I$20)</f>
        <v>3580.7732338046108</v>
      </c>
      <c r="R69" s="169" cm="1">
        <f t="array" ref="R69">_xlfn.IFS(R48&lt;=$C$18,R55*$C$20,R48&lt;=$D$18,R55*$D$20,R48&lt;=$E$18,R55*$E$20,R48&lt;=$F$18,R55*$F$20,R48&lt;=$G$18,R55*$G$20,R48&lt;=$H$18,R55*$H$20,R48&gt;$H$18,R55*$I$20)</f>
        <v>3933.7104531330251</v>
      </c>
      <c r="S69" s="169" cm="1">
        <f t="array" ref="S69">_xlfn.IFS(S48&lt;=$C$18,S55*$C$20,S48&lt;=$D$18,S55*$D$20,S48&lt;=$E$18,S55*$E$20,S48&lt;=$F$18,S55*$F$20,S48&lt;=$G$18,S55*$G$20,S48&lt;=$H$18,S55*$H$20,S48&gt;$H$18,S55*$I$20)</f>
        <v>4320.8782301623723</v>
      </c>
      <c r="T69" s="169" cm="1">
        <f t="array" ref="T69">_xlfn.IFS(T48&lt;=$C$18,T55*$C$20,T48&lt;=$D$18,T55*$D$20,T48&lt;=$E$18,T55*$E$20,T48&lt;=$F$18,T55*$F$20,T48&lt;=$G$18,T55*$G$20,T48&lt;=$H$18,T55*$H$20,T48&gt;$H$18,T55*$I$20)</f>
        <v>4745.4816510799265</v>
      </c>
      <c r="U69" s="169" cm="1">
        <f t="array" ref="U69">_xlfn.IFS(U48&lt;=$C$18,U55*$C$20,U48&lt;=$D$18,U55*$D$20,U48&lt;=$E$18,U55*$E$20,U48&lt;=$F$18,U55*$F$20,U48&lt;=$G$18,U55*$G$20,U48&lt;=$H$18,U55*$H$20,U48&gt;$H$18,U55*$I$20)</f>
        <v>5211.0022503014707</v>
      </c>
      <c r="V69" s="169" cm="1">
        <f t="array" ref="V69">_xlfn.IFS(V48&lt;=$C$18,V55*$C$20,V48&lt;=$D$18,V55*$D$20,V48&lt;=$E$18,V55*$E$20,V48&lt;=$F$18,V55*$F$20,V48&lt;=$G$18,V55*$G$20,V48&lt;=$H$18,V55*$H$20,V48&gt;$H$18,V55*$I$20)</f>
        <v>5721.2169518209603</v>
      </c>
      <c r="W69" s="169" cm="1">
        <f t="array" ref="W69">_xlfn.IFS(W48&lt;=$C$18,W55*$C$20,W48&lt;=$D$18,W55*$D$20,W48&lt;=$E$18,W55*$E$20,W48&lt;=$F$18,W55*$F$20,W48&lt;=$G$18,W55*$G$20,W48&lt;=$H$18,W55*$H$20,W48&gt;$H$18,W55*$I$20)</f>
        <v>6280.2172507082141</v>
      </c>
      <c r="X69" s="169" cm="1">
        <f t="array" ref="X69">_xlfn.IFS(X48&lt;=$C$18,X55*$C$20,X48&lt;=$D$18,X55*$D$20,X48&lt;=$E$18,X55*$E$20,X48&lt;=$F$18,X55*$F$20,X48&lt;=$G$18,X55*$G$20,X48&lt;=$H$18,X55*$H$20,X48&gt;$H$18,X55*$I$20)</f>
        <v>6892.4283653530993</v>
      </c>
      <c r="Y69" s="169" cm="1">
        <f t="array" ref="Y69">_xlfn.IFS(Y48&lt;=$C$18,Y55*$C$20,Y48&lt;=$D$18,Y55*$D$20,Y48&lt;=$E$18,Y55*$E$20,Y48&lt;=$F$18,Y55*$F$20,Y48&lt;=$G$18,Y55*$G$20,Y48&lt;=$H$18,Y55*$H$20,Y48&gt;$H$18,Y55*$I$20)</f>
        <v>7562.6280187657421</v>
      </c>
      <c r="Z69" s="169" cm="1">
        <f t="array" ref="Z69">_xlfn.IFS(Z48&lt;=$C$18,Z55*$C$20,Z48&lt;=$D$18,Z55*$D$20,Z48&lt;=$E$18,Z55*$E$20,Z48&lt;=$F$18,Z55*$F$20,Z48&lt;=$G$18,Z55*$G$20,Z48&lt;=$H$18,Z55*$H$20,Z48&gt;$H$18,Z55*$I$20)</f>
        <v>8295.9644229032201</v>
      </c>
      <c r="AA69" s="169" cm="1">
        <f t="array" ref="AA69">_xlfn.IFS(AA48&lt;=$C$18,AA55*$C$20,AA48&lt;=$D$18,AA55*$D$20,AA48&lt;=$E$18,AA55*$E$20,AA48&lt;=$F$18,AA55*$F$20,AA48&lt;=$G$18,AA55*$G$20,AA48&lt;=$H$18,AA55*$H$20,AA48&gt;$H$18,AA55*$I$20)</f>
        <v>22241.163337595161</v>
      </c>
      <c r="AB69" s="169" cm="1">
        <f t="array" ref="AB69">_xlfn.IFS(AB48&lt;=$C$18,AB55*$C$20,AB48&lt;=$D$18,AB55*$D$20,AB48&lt;=$E$18,AB55*$E$20,AB48&lt;=$F$18,AB55*$F$20,AB48&lt;=$G$18,AB55*$G$20,AB48&lt;=$H$18,AB55*$H$20,AB48&gt;$H$18,AB55*$I$20)</f>
        <v>26603.916693759205</v>
      </c>
      <c r="AC69" s="169" cm="1">
        <f t="array" ref="AC69">_xlfn.IFS(AC48&lt;=$C$18,AC55*$C$20,AC48&lt;=$D$18,AC55*$D$20,AC48&lt;=$E$18,AC55*$E$20,AC48&lt;=$F$18,AC55*$F$20,AC48&lt;=$G$18,AC55*$G$20,AC48&lt;=$H$18,AC55*$H$20,AC48&gt;$H$18,AC55*$I$20)</f>
        <v>31802.403147244575</v>
      </c>
      <c r="AD69" s="169" cm="1">
        <f t="array" ref="AD69">_xlfn.IFS(AD48&lt;=$C$18,AD55*$C$20,AD48&lt;=$D$18,AD55*$D$20,AD48&lt;=$E$18,AD55*$E$20,AD48&lt;=$F$18,AD55*$F$20,AD48&lt;=$G$18,AD55*$G$20,AD48&lt;=$H$18,AD55*$H$20,AD48&gt;$H$18,AD55*$I$20)</f>
        <v>37988.13336040447</v>
      </c>
      <c r="AE69" s="169" cm="1">
        <f t="array" ref="AE69">_xlfn.IFS(AE48&lt;=$C$18,AE55*$C$20,AE48&lt;=$D$18,AE55*$D$20,AE48&lt;=$E$18,AE55*$E$20,AE48&lt;=$F$18,AE55*$F$20,AE48&lt;=$G$18,AE55*$G$20,AE48&lt;=$H$18,AE55*$H$20,AE48&gt;$H$18,AE55*$I$20)</f>
        <v>45336.436362150242</v>
      </c>
      <c r="AF69" s="169" cm="1">
        <f t="array" ref="AF69">_xlfn.IFS(AF48&lt;=$C$18,AF55*$C$20,AF48&lt;=$D$18,AF55*$D$20,AF48&lt;=$E$18,AF55*$E$20,AF48&lt;=$F$18,AF55*$F$20,AF48&lt;=$G$18,AF55*$G$20,AF48&lt;=$H$18,AF55*$H$20,AF48&gt;$H$18,AF55*$I$20)</f>
        <v>54048.643842939833</v>
      </c>
      <c r="AG69" s="169" cm="1">
        <f t="array" ref="AG69">_xlfn.IFS(AG48&lt;=$C$18,AG55*$C$20,AG48&lt;=$D$18,AG55*$D$20,AG48&lt;=$E$18,AG55*$E$20,AG48&lt;=$F$18,AG55*$F$20,AG48&lt;=$G$18,AG55*$G$20,AG48&lt;=$H$18,AG55*$H$20,AG48&gt;$H$18,AG55*$I$20)</f>
        <v>64353.760361752473</v>
      </c>
      <c r="AH69" s="169" cm="1">
        <f t="array" ref="AH69">_xlfn.IFS(AH48&lt;=$C$18,AH55*$C$20,AH48&lt;=$D$18,AH55*$D$20,AH48&lt;=$E$18,AH55*$E$20,AH48&lt;=$F$18,AH55*$F$20,AH48&lt;=$G$18,AH55*$G$20,AH48&lt;=$H$18,AH55*$H$20,AH48&gt;$H$18,AH55*$I$20)</f>
        <v>76509.217108318291</v>
      </c>
      <c r="AI69" s="169" cm="1">
        <f t="array" ref="AI69">_xlfn.IFS(AI48&lt;=$C$18,AI55*$C$20,AI48&lt;=$D$18,AI55*$D$20,AI48&lt;=$E$18,AI55*$E$20,AI48&lt;=$F$18,AI55*$F$20,AI48&lt;=$G$18,AI55*$G$20,AI48&lt;=$H$18,AI55*$H$20,AI48&gt;$H$18,AI55*$I$20)</f>
        <v>90800.166577620097</v>
      </c>
      <c r="AJ69" s="169" cm="1">
        <f t="array" ref="AJ69">_xlfn.IFS(AJ48&lt;=$C$18,AJ55*$C$20,AJ48&lt;=$D$18,AJ55*$D$20,AJ48&lt;=$E$18,AJ55*$E$20,AJ48&lt;=$F$18,AJ55*$F$20,AJ48&lt;=$G$18,AJ55*$G$20,AJ48&lt;=$H$18,AJ55*$H$20,AJ48&gt;$H$18,AJ55*$I$20)</f>
        <v>107536.6197808227</v>
      </c>
      <c r="AK69" s="169" cm="1">
        <f t="array" ref="AK69">_xlfn.IFS(AK48&lt;=$C$18,AK55*$C$20,AK48&lt;=$D$18,AK55*$D$20,AK48&lt;=$E$18,AK55*$E$20,AK48&lt;=$F$18,AK55*$F$20,AK48&lt;=$G$18,AK55*$G$20,AK48&lt;=$H$18,AK55*$H$20,AK48&gt;$H$18,AK55*$I$20)</f>
        <v>127047.57556646517</v>
      </c>
      <c r="AL69" s="169" cm="1">
        <f t="array" ref="AL69">_xlfn.IFS(AL48&lt;=$C$18,AL55*$C$20,AL48&lt;=$D$18,AL55*$D$20,AL48&lt;=$E$18,AL55*$E$20,AL48&lt;=$F$18,AL55*$F$20,AL48&lt;=$G$18,AL55*$G$20,AL48&lt;=$H$18,AL55*$H$20,AL48&gt;$H$18,AL55*$I$20)</f>
        <v>149671.1790348326</v>
      </c>
      <c r="AM69" s="169" cm="1">
        <f t="array" ref="AM69">_xlfn.IFS(AM48&lt;=$C$18,AM55*$C$20,AM48&lt;=$D$18,AM55*$D$20,AM48&lt;=$E$18,AM55*$E$20,AM48&lt;=$F$18,AM55*$F$20,AM48&lt;=$G$18,AM55*$G$20,AM48&lt;=$H$18,AM55*$H$20,AM48&gt;$H$18,AM55*$I$20)</f>
        <v>351479.86136557517</v>
      </c>
      <c r="AN69" s="169" cm="1">
        <f t="array" ref="AN69">_xlfn.IFS(AN48&lt;=$C$18,AN55*$C$20,AN48&lt;=$D$18,AN55*$D$20,AN48&lt;=$E$18,AN55*$E$20,AN48&lt;=$F$18,AN55*$F$20,AN48&lt;=$G$18,AN55*$G$20,AN48&lt;=$H$18,AN55*$H$20,AN48&gt;$H$18,AN55*$I$20)</f>
        <v>411120.26412701304</v>
      </c>
      <c r="AO69" s="169" cm="1">
        <f t="array" ref="AO69">_xlfn.IFS(AO48&lt;=$C$18,AO55*$C$20,AO48&lt;=$D$18,AO55*$D$20,AO48&lt;=$E$18,AO55*$E$20,AO48&lt;=$F$18,AO55*$F$20,AO48&lt;=$G$18,AO55*$G$20,AO48&lt;=$H$18,AO55*$H$20,AO48&gt;$H$18,AO55*$I$20)</f>
        <v>478770.39738596609</v>
      </c>
      <c r="AP69" s="169" cm="1">
        <f t="array" ref="AP69">_xlfn.IFS(AP48&lt;=$C$18,AP55*$C$20,AP48&lt;=$D$18,AP55*$D$20,AP48&lt;=$E$18,AP55*$E$20,AP48&lt;=$F$18,AP55*$F$20,AP48&lt;=$G$18,AP55*$G$20,AP48&lt;=$H$18,AP55*$H$20,AP48&gt;$H$18,AP55*$I$20)</f>
        <v>554766.5935428614</v>
      </c>
      <c r="AQ69" s="169" cm="1">
        <f t="array" ref="AQ69">_xlfn.IFS(AQ48&lt;=$C$18,AQ55*$C$20,AQ48&lt;=$D$18,AQ55*$D$20,AQ48&lt;=$E$18,AQ55*$E$20,AQ48&lt;=$F$18,AQ55*$F$20,AQ48&lt;=$G$18,AQ55*$G$20,AQ48&lt;=$H$18,AQ55*$H$20,AQ48&gt;$H$18,AQ55*$I$20)</f>
        <v>639202.04727314634</v>
      </c>
      <c r="AR69" s="169" cm="1">
        <f t="array" ref="AR69">_xlfn.IFS(AR48&lt;=$C$18,AR55*$C$20,AR48&lt;=$D$18,AR55*$D$20,AR48&lt;=$E$18,AR55*$E$20,AR48&lt;=$F$18,AR55*$F$20,AR48&lt;=$G$18,AR55*$G$20,AR48&lt;=$H$18,AR55*$H$20,AR48&gt;$H$18,AR55*$I$20)</f>
        <v>731852.99973163381</v>
      </c>
      <c r="AS69" s="169" cm="1">
        <f t="array" ref="AS69">_xlfn.IFS(AS48&lt;=$C$18,AS55*$C$20,AS48&lt;=$D$18,AS55*$D$20,AS48&lt;=$E$18,AS55*$E$20,AS48&lt;=$F$18,AS55*$F$20,AS48&lt;=$G$18,AS55*$G$20,AS48&lt;=$H$18,AS55*$H$20,AS48&gt;$H$18,AS55*$I$20)</f>
        <v>832114.06804486911</v>
      </c>
      <c r="AT69" s="169" cm="1">
        <f t="array" ref="AT69">_xlfn.IFS(AT48&lt;=$C$18,AT55*$C$20,AT48&lt;=$D$18,AT55*$D$20,AT48&lt;=$E$18,AT55*$E$20,AT48&lt;=$F$18,AT55*$F$20,AT48&lt;=$G$18,AT55*$G$20,AT48&lt;=$H$18,AT55*$H$20,AT48&gt;$H$18,AT55*$I$20)</f>
        <v>938955.96198761475</v>
      </c>
      <c r="AU69" s="169" cm="1">
        <f t="array" ref="AU69">_xlfn.IFS(AU48&lt;=$C$18,AU55*$C$20,AU48&lt;=$D$18,AU55*$D$20,AU48&lt;=$E$18,AU55*$E$20,AU48&lt;=$F$18,AU55*$F$20,AU48&lt;=$G$18,AU55*$G$20,AU48&lt;=$H$18,AU55*$H$20,AU48&gt;$H$18,AU55*$I$20)</f>
        <v>1050919.7182235091</v>
      </c>
      <c r="AV69" s="169" cm="1">
        <f t="array" ref="AV69">_xlfn.IFS(AV48&lt;=$C$18,AV55*$C$20,AV48&lt;=$D$18,AV55*$D$20,AV48&lt;=$E$18,AV55*$E$20,AV48&lt;=$F$18,AV55*$F$20,AV48&lt;=$G$18,AV55*$G$20,AV48&lt;=$H$18,AV55*$H$20,AV48&gt;$H$18,AV55*$I$20)</f>
        <v>1166159.0302033545</v>
      </c>
      <c r="AW69" s="169" cm="1">
        <f t="array" ref="AW69">_xlfn.IFS(AW48&lt;=$C$18,AW55*$C$20,AW48&lt;=$D$18,AW55*$D$20,AW48&lt;=$E$18,AW55*$E$20,AW48&lt;=$F$18,AW55*$F$20,AW48&lt;=$G$18,AW55*$G$20,AW48&lt;=$H$18,AW55*$H$20,AW48&gt;$H$18,AW55*$I$20)</f>
        <v>1282535.4826356508</v>
      </c>
      <c r="AX69" s="169" cm="1">
        <f t="array" ref="AX69">_xlfn.IFS(AX48&lt;=$C$18,AX55*$C$20,AX48&lt;=$D$18,AX55*$D$20,AX48&lt;=$E$18,AX55*$E$20,AX48&lt;=$F$18,AX55*$F$20,AX48&lt;=$G$18,AX55*$G$20,AX48&lt;=$H$18,AX55*$H$20,AX48&gt;$H$18,AX55*$I$20)</f>
        <v>1397761.1424313721</v>
      </c>
      <c r="AY69" s="169" cm="1">
        <f t="array" ref="AY69">_xlfn.IFS(AY48&lt;=$C$18,AY55*$C$20,AY48&lt;=$D$18,AY55*$D$20,AY48&lt;=$E$18,AY55*$E$20,AY48&lt;=$F$18,AY55*$F$20,AY48&lt;=$G$18,AY55*$G$20,AY48&lt;=$H$18,AY55*$H$20,AY48&gt;$H$18,AY55*$I$20)</f>
        <v>3077334.7222368019</v>
      </c>
      <c r="AZ69" s="169" cm="1">
        <f t="array" ref="AZ69">_xlfn.IFS(AZ48&lt;=$C$18,AZ55*$C$20,AZ48&lt;=$D$18,AZ55*$D$20,AZ48&lt;=$E$18,AZ55*$E$20,AZ48&lt;=$F$18,AZ55*$F$20,AZ48&lt;=$G$18,AZ55*$G$20,AZ48&lt;=$H$18,AZ55*$H$20,AZ48&gt;$H$18,AZ55*$I$20)</f>
        <v>3408832.4876941158</v>
      </c>
      <c r="BA69" s="169" cm="1">
        <f t="array" ref="BA69">_xlfn.IFS(BA48&lt;=$C$18,BA55*$C$20,BA48&lt;=$D$18,BA55*$D$20,BA48&lt;=$E$18,BA55*$E$20,BA48&lt;=$F$18,BA55*$F$20,BA48&lt;=$G$18,BA55*$G$20,BA48&lt;=$H$18,BA55*$H$20,BA48&gt;$H$18,BA55*$I$20)</f>
        <v>3727797.0844981861</v>
      </c>
      <c r="BB69" s="169" cm="1">
        <f t="array" ref="BB69">_xlfn.IFS(BB48&lt;=$C$18,BB55*$C$20,BB48&lt;=$D$18,BB55*$D$20,BB48&lt;=$E$18,BB55*$E$20,BB48&lt;=$F$18,BB55*$F$20,BB48&lt;=$G$18,BB55*$G$20,BB48&lt;=$H$18,BB55*$H$20,BB48&gt;$H$18,BB55*$I$20)</f>
        <v>4025872.9098673342</v>
      </c>
      <c r="BC69" s="169" cm="1">
        <f t="array" ref="BC69">_xlfn.IFS(BC48&lt;=$C$18,BC55*$C$20,BC48&lt;=$D$18,BC55*$D$20,BC48&lt;=$E$18,BC55*$E$20,BC48&lt;=$F$18,BC55*$F$20,BC48&lt;=$G$18,BC55*$G$20,BC48&lt;=$H$18,BC55*$H$20,BC48&gt;$H$18,BC55*$I$20)</f>
        <v>4296593.9732366465</v>
      </c>
      <c r="BD69" s="169" cm="1">
        <f t="array" ref="BD69">_xlfn.IFS(BD48&lt;=$C$18,BD55*$C$20,BD48&lt;=$D$18,BD55*$D$20,BD48&lt;=$E$18,BD55*$E$20,BD48&lt;=$F$18,BD55*$F$20,BD48&lt;=$G$18,BD55*$G$20,BD48&lt;=$H$18,BD55*$H$20,BD48&gt;$H$18,BD55*$I$20)</f>
        <v>4535902.2441297518</v>
      </c>
      <c r="BE69" s="169" cm="1">
        <f t="array" ref="BE69">_xlfn.IFS(BE48&lt;=$C$18,BE55*$C$20,BE48&lt;=$D$18,BE55*$D$20,BE48&lt;=$E$18,BE55*$E$20,BE48&lt;=$F$18,BE55*$F$20,BE48&lt;=$G$18,BE55*$G$20,BE48&lt;=$H$18,BE55*$H$20,BE48&gt;$H$18,BE55*$I$20)</f>
        <v>4742226.0227460377</v>
      </c>
      <c r="BF69" s="169" cm="1">
        <f t="array" ref="BF69">_xlfn.IFS(BF48&lt;=$C$18,BF55*$C$20,BF48&lt;=$D$18,BF55*$D$20,BF48&lt;=$E$18,BF55*$E$20,BF48&lt;=$F$18,BF55*$F$20,BF48&lt;=$G$18,BF55*$G$20,BF48&lt;=$H$18,BF55*$H$20,BF48&gt;$H$18,BF55*$I$20)</f>
        <v>4916172.7821604898</v>
      </c>
      <c r="BG69" s="169" cm="1">
        <f t="array" ref="BG69">_xlfn.IFS(BG48&lt;=$C$18,BG55*$C$20,BG48&lt;=$D$18,BG55*$D$20,BG48&lt;=$E$18,BG55*$E$20,BG48&lt;=$F$18,BG55*$F$20,BG48&lt;=$G$18,BG55*$G$20,BG48&lt;=$H$18,BG55*$H$20,BG48&gt;$H$18,BG55*$I$20)</f>
        <v>5059982.4816820305</v>
      </c>
      <c r="BH69" s="169" cm="1">
        <f t="array" ref="BH69">_xlfn.IFS(BH48&lt;=$C$18,BH55*$C$20,BH48&lt;=$D$18,BH55*$D$20,BH48&lt;=$E$18,BH55*$E$20,BH48&lt;=$F$18,BH55*$F$20,BH48&lt;=$G$18,BH55*$G$20,BH48&lt;=$H$18,BH55*$H$20,BH48&gt;$H$18,BH55*$I$20)</f>
        <v>5176909.1446104776</v>
      </c>
      <c r="BI69" s="169" cm="1">
        <f t="array" ref="BI69">_xlfn.IFS(BI48&lt;=$C$18,BI55*$C$20,BI48&lt;=$D$18,BI55*$D$20,BI48&lt;=$E$18,BI55*$E$20,BI48&lt;=$F$18,BI55*$F$20,BI48&lt;=$G$18,BI55*$G$20,BI48&lt;=$H$18,BI55*$H$20,BI48&gt;$H$18,BI55*$I$20)</f>
        <v>5270662.5198491979</v>
      </c>
      <c r="BJ69" s="169" cm="1">
        <f t="array" ref="BJ69">_xlfn.IFS(BJ48&lt;=$C$18,BJ55*$C$20,BJ48&lt;=$D$18,BJ55*$D$20,BJ48&lt;=$E$18,BJ55*$E$20,BJ48&lt;=$F$18,BJ55*$F$20,BJ48&lt;=$G$18,BJ55*$G$20,BJ48&lt;=$H$18,BJ55*$H$20,BJ48&gt;$H$18,BJ55*$I$20)</f>
        <v>5344981.0694541251</v>
      </c>
      <c r="BK69" s="169" cm="1">
        <f t="array" ref="BK69">_xlfn.IFS(BK48&lt;=$C$18,BK55*$C$20,BK48&lt;=$D$18,BK55*$D$20,BK48&lt;=$E$18,BK55*$E$20,BK48&lt;=$F$18,BK55*$F$20,BK48&lt;=$G$18,BK55*$G$20,BK48&lt;=$H$18,BK55*$H$20,BK48&gt;$H$18,BK55*$I$20)</f>
        <v>10034797.35502474</v>
      </c>
      <c r="BL69" s="169" cm="1">
        <f t="array" ref="BL69">_xlfn.IFS(BL48&lt;=$C$18,BL55*$C$20,BL48&lt;=$D$18,BL55*$D$20,BL48&lt;=$E$18,BL55*$E$20,BL48&lt;=$F$18,BL55*$F$20,BL48&lt;=$G$18,BL55*$G$20,BL48&lt;=$H$18,BL55*$H$20,BL48&gt;$H$18,BL55*$I$20)</f>
        <v>10119315.93907127</v>
      </c>
      <c r="BM69" s="169" cm="1">
        <f t="array" ref="BM69">_xlfn.IFS(BM48&lt;=$C$18,BM55*$C$20,BM48&lt;=$D$18,BM55*$D$20,BM48&lt;=$E$18,BM55*$E$20,BM48&lt;=$F$18,BM55*$F$20,BM48&lt;=$G$18,BM55*$G$20,BM48&lt;=$H$18,BM55*$H$20,BM48&gt;$H$18,BM55*$I$20)</f>
        <v>10184830.521214522</v>
      </c>
      <c r="BN69" s="169" cm="1">
        <f t="array" ref="BN69">_xlfn.IFS(BN48&lt;=$C$18,BN55*$C$20,BN48&lt;=$D$18,BN55*$D$20,BN48&lt;=$E$18,BN55*$E$20,BN48&lt;=$F$18,BN55*$F$20,BN48&lt;=$G$18,BN55*$G$20,BN48&lt;=$H$18,BN55*$H$20,BN48&gt;$H$18,BN55*$I$20)</f>
        <v>10235383.956568331</v>
      </c>
      <c r="BO69" s="169" cm="1">
        <f t="array" ref="BO69">_xlfn.IFS(BO48&lt;=$C$18,BO55*$C$20,BO48&lt;=$D$18,BO55*$D$20,BO48&lt;=$E$18,BO55*$E$20,BO48&lt;=$F$18,BO55*$F$20,BO48&lt;=$G$18,BO55*$G$20,BO48&lt;=$H$18,BO55*$H$20,BO48&gt;$H$18,BO55*$I$20)</f>
        <v>10274255.298183644</v>
      </c>
      <c r="BP69" s="169" cm="1">
        <f t="array" ref="BP69">_xlfn.IFS(BP48&lt;=$C$18,BP55*$C$20,BP48&lt;=$D$18,BP55*$D$20,BP48&lt;=$E$18,BP55*$E$20,BP48&lt;=$F$18,BP55*$F$20,BP48&lt;=$G$18,BP55*$G$20,BP48&lt;=$H$18,BP55*$H$20,BP48&gt;$H$18,BP55*$I$20)</f>
        <v>10304062.564911155</v>
      </c>
      <c r="BQ69" s="169" cm="1">
        <f t="array" ref="BQ69">_xlfn.IFS(BQ48&lt;=$C$18,BQ55*$C$20,BQ48&lt;=$D$18,BQ55*$D$20,BQ48&lt;=$E$18,BQ55*$E$20,BQ48&lt;=$F$18,BQ55*$F$20,BQ48&lt;=$G$18,BQ55*$G$20,BQ48&lt;=$H$18,BQ55*$H$20,BQ48&gt;$H$18,BQ55*$I$20)</f>
        <v>10326871.293217231</v>
      </c>
      <c r="BR69" s="169" cm="1">
        <f t="array" ref="BR69">_xlfn.IFS(BR48&lt;=$C$18,BR55*$C$20,BR48&lt;=$D$18,BR55*$D$20,BR48&lt;=$E$18,BR55*$E$20,BR48&lt;=$F$18,BR55*$F$20,BR48&lt;=$G$18,BR55*$G$20,BR48&lt;=$H$18,BR55*$H$20,BR48&gt;$H$18,BR55*$I$20)</f>
        <v>10344296.518460719</v>
      </c>
    </row>
    <row r="70" spans="1:72" ht="12.75">
      <c r="B70" s="165" t="s">
        <v>128</v>
      </c>
      <c r="C70" s="166">
        <f>SUM(C69)</f>
        <v>0</v>
      </c>
      <c r="D70" s="166">
        <f>SUM(D69)</f>
        <v>0</v>
      </c>
      <c r="E70" s="166">
        <f>SUM(E69)</f>
        <v>0</v>
      </c>
      <c r="F70" s="166">
        <f>SUM(F69)</f>
        <v>0</v>
      </c>
      <c r="G70" s="166">
        <f>SUM(G69)</f>
        <v>0</v>
      </c>
      <c r="H70" s="166">
        <f>SUM(H69)</f>
        <v>0</v>
      </c>
      <c r="I70" s="166">
        <f>SUM(I69)</f>
        <v>0</v>
      </c>
      <c r="J70" s="166">
        <f>SUM(J69)</f>
        <v>0</v>
      </c>
      <c r="K70" s="166">
        <f>SUM(K69)</f>
        <v>0</v>
      </c>
      <c r="L70" s="166">
        <f>SUM(L69)</f>
        <v>0</v>
      </c>
      <c r="M70" s="166">
        <f>SUM(M69)</f>
        <v>0</v>
      </c>
      <c r="N70" s="166">
        <f>SUM(N69)</f>
        <v>0</v>
      </c>
      <c r="O70" s="166">
        <f>SUM(O69)</f>
        <v>2966.0420106179099</v>
      </c>
      <c r="P70" s="166">
        <f>SUM(P69)</f>
        <v>3259.1194410866838</v>
      </c>
      <c r="Q70" s="166">
        <f>SUM(Q69)</f>
        <v>3580.7732338046108</v>
      </c>
      <c r="R70" s="166">
        <f>SUM(R69)</f>
        <v>3933.7104531330251</v>
      </c>
      <c r="S70" s="166">
        <f>SUM(S69)</f>
        <v>4320.8782301623723</v>
      </c>
      <c r="T70" s="166">
        <f>SUM(T69)</f>
        <v>4745.4816510799265</v>
      </c>
      <c r="U70" s="166">
        <f>SUM(U69)</f>
        <v>5211.0022503014707</v>
      </c>
      <c r="V70" s="166">
        <f>SUM(V69)</f>
        <v>5721.2169518209603</v>
      </c>
      <c r="W70" s="166">
        <f>SUM(W69)</f>
        <v>6280.2172507082141</v>
      </c>
      <c r="X70" s="166">
        <f>SUM(X69)</f>
        <v>6892.4283653530993</v>
      </c>
      <c r="Y70" s="166">
        <f>SUM(Y69)</f>
        <v>7562.6280187657421</v>
      </c>
      <c r="Z70" s="166">
        <f>SUM(Z69)</f>
        <v>8295.9644229032201</v>
      </c>
      <c r="AA70" s="166">
        <f>SUM(AA69)</f>
        <v>22241.163337595161</v>
      </c>
      <c r="AB70" s="166">
        <f>SUM(AB69)</f>
        <v>26603.916693759205</v>
      </c>
      <c r="AC70" s="166">
        <f>SUM(AC69)</f>
        <v>31802.403147244575</v>
      </c>
      <c r="AD70" s="166">
        <f>SUM(AD69)</f>
        <v>37988.13336040447</v>
      </c>
      <c r="AE70" s="166">
        <f>SUM(AE69)</f>
        <v>45336.436362150242</v>
      </c>
      <c r="AF70" s="166">
        <f>SUM(AF69)</f>
        <v>54048.643842939833</v>
      </c>
      <c r="AG70" s="166">
        <f>SUM(AG69)</f>
        <v>64353.760361752473</v>
      </c>
      <c r="AH70" s="166">
        <f>SUM(AH69)</f>
        <v>76509.217108318291</v>
      </c>
      <c r="AI70" s="166">
        <f>SUM(AI69)</f>
        <v>90800.166577620097</v>
      </c>
      <c r="AJ70" s="166">
        <f>SUM(AJ69)</f>
        <v>107536.6197808227</v>
      </c>
      <c r="AK70" s="166">
        <f>SUM(AK69)</f>
        <v>127047.57556646517</v>
      </c>
      <c r="AL70" s="166">
        <f>SUM(AL69)</f>
        <v>149671.1790348326</v>
      </c>
      <c r="AM70" s="166">
        <f>SUM(AM69)</f>
        <v>351479.86136557517</v>
      </c>
      <c r="AN70" s="166">
        <f>SUM(AN69)</f>
        <v>411120.26412701304</v>
      </c>
      <c r="AO70" s="166">
        <f>SUM(AO69)</f>
        <v>478770.39738596609</v>
      </c>
      <c r="AP70" s="166">
        <f>SUM(AP69)</f>
        <v>554766.5935428614</v>
      </c>
      <c r="AQ70" s="166">
        <f>SUM(AQ69)</f>
        <v>639202.04727314634</v>
      </c>
      <c r="AR70" s="166">
        <f>SUM(AR69)</f>
        <v>731852.99973163381</v>
      </c>
      <c r="AS70" s="166">
        <f>SUM(AS69)</f>
        <v>832114.06804486911</v>
      </c>
      <c r="AT70" s="166">
        <f>SUM(AT69)</f>
        <v>938955.96198761475</v>
      </c>
      <c r="AU70" s="166">
        <f>SUM(AU69)</f>
        <v>1050919.7182235091</v>
      </c>
      <c r="AV70" s="166">
        <f>SUM(AV69)</f>
        <v>1166159.0302033545</v>
      </c>
      <c r="AW70" s="166">
        <f>SUM(AW69)</f>
        <v>1282535.4826356508</v>
      </c>
      <c r="AX70" s="166">
        <f>SUM(AX69)</f>
        <v>1397761.1424313721</v>
      </c>
      <c r="AY70" s="166">
        <f>SUM(AY69)</f>
        <v>3077334.7222368019</v>
      </c>
      <c r="AZ70" s="166">
        <f>SUM(AZ69)</f>
        <v>3408832.4876941158</v>
      </c>
      <c r="BA70" s="166">
        <f>SUM(BA69)</f>
        <v>3727797.0844981861</v>
      </c>
      <c r="BB70" s="166">
        <f>SUM(BB69)</f>
        <v>4025872.9098673342</v>
      </c>
      <c r="BC70" s="166">
        <f>SUM(BC69)</f>
        <v>4296593.9732366465</v>
      </c>
      <c r="BD70" s="166">
        <f>SUM(BD69)</f>
        <v>4535902.2441297518</v>
      </c>
      <c r="BE70" s="166">
        <f>SUM(BE69)</f>
        <v>4742226.0227460377</v>
      </c>
      <c r="BF70" s="166">
        <f>SUM(BF69)</f>
        <v>4916172.7821604898</v>
      </c>
      <c r="BG70" s="166">
        <f>SUM(BG69)</f>
        <v>5059982.4816820305</v>
      </c>
      <c r="BH70" s="166">
        <f>SUM(BH69)</f>
        <v>5176909.1446104776</v>
      </c>
      <c r="BI70" s="166">
        <f>SUM(BI69)</f>
        <v>5270662.5198491979</v>
      </c>
      <c r="BJ70" s="166">
        <f>SUM(BJ69)</f>
        <v>5344981.0694541251</v>
      </c>
      <c r="BK70" s="166">
        <f>SUM(BK69)</f>
        <v>10034797.35502474</v>
      </c>
      <c r="BL70" s="166">
        <f>SUM(BL69)</f>
        <v>10119315.93907127</v>
      </c>
      <c r="BM70" s="166">
        <f>SUM(BM69)</f>
        <v>10184830.521214522</v>
      </c>
      <c r="BN70" s="166">
        <f>SUM(BN69)</f>
        <v>10235383.956568331</v>
      </c>
      <c r="BO70" s="166">
        <f>SUM(BO69)</f>
        <v>10274255.298183644</v>
      </c>
      <c r="BP70" s="166">
        <f>SUM(BP69)</f>
        <v>10304062.564911155</v>
      </c>
      <c r="BQ70" s="166">
        <f>SUM(BQ69)</f>
        <v>10326871.293217231</v>
      </c>
      <c r="BR70" s="166">
        <f>SUM(BR69)</f>
        <v>10344296.518460719</v>
      </c>
    </row>
    <row r="71" spans="1:72" s="124" customFormat="1" ht="7.5" customHeight="1">
      <c r="A71" s="123"/>
    </row>
    <row r="72" spans="1:72" ht="12.75">
      <c r="B72" s="112" t="s">
        <v>188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T72" s="113"/>
    </row>
    <row r="73" spans="1:72" ht="12.75">
      <c r="B73" s="167" t="s">
        <v>127</v>
      </c>
      <c r="C73" s="154">
        <f>C53*$C$37</f>
        <v>0</v>
      </c>
      <c r="D73" s="154">
        <f>D53*$C$37</f>
        <v>97.484250000000003</v>
      </c>
      <c r="E73" s="154">
        <f>E53*$C$37</f>
        <v>126.70291609880542</v>
      </c>
      <c r="F73" s="154">
        <f>F53*$C$37</f>
        <v>164.66884076739279</v>
      </c>
      <c r="G73" s="154">
        <f>G53*$C$37</f>
        <v>213.99356868167553</v>
      </c>
      <c r="H73" s="154">
        <f>H53*$C$37</f>
        <v>235.30133905496888</v>
      </c>
      <c r="I73" s="154">
        <f>I53*$C$37</f>
        <v>305.78100733113746</v>
      </c>
      <c r="J73" s="154">
        <f>J53*$C$37</f>
        <v>397.32830548158972</v>
      </c>
      <c r="K73" s="154">
        <f>K53*$C$37</f>
        <v>516.21105756139286</v>
      </c>
      <c r="L73" s="154">
        <f>L53*$C$37</f>
        <v>670.54142711791337</v>
      </c>
      <c r="M73" s="154">
        <f>M53*$C$37</f>
        <v>870.80460364232476</v>
      </c>
      <c r="N73" s="154">
        <f>N53*$C$37</f>
        <v>1130.5293834195729</v>
      </c>
      <c r="O73" s="154">
        <f>O53*$C$37</f>
        <v>1242.3042250747551</v>
      </c>
      <c r="P73" s="154">
        <f>P53*$C$37</f>
        <v>1364.9913277945921</v>
      </c>
      <c r="Q73" s="154">
        <f>Q53*$C$37</f>
        <v>1499.6272592490968</v>
      </c>
      <c r="R73" s="154">
        <f>R53*$C$37</f>
        <v>1647.3411032573233</v>
      </c>
      <c r="S73" s="154">
        <f>S53*$C$37</f>
        <v>1809.3614808725747</v>
      </c>
      <c r="T73" s="154">
        <f>T53*$C$37</f>
        <v>1987.0238399913669</v>
      </c>
      <c r="U73" s="154">
        <f>U53*$C$37</f>
        <v>2181.7779602498099</v>
      </c>
      <c r="V73" s="154">
        <f>V53*$C$37</f>
        <v>2395.1956012069586</v>
      </c>
      <c r="W73" s="154">
        <f>W53*$C$37</f>
        <v>2628.9781993596134</v>
      </c>
      <c r="X73" s="154">
        <f>X53*$C$37</f>
        <v>2884.9644929228666</v>
      </c>
      <c r="Y73" s="154">
        <f>Y53*$C$37</f>
        <v>3165.1379220897275</v>
      </c>
      <c r="Z73" s="154">
        <f>Z53*$C$37</f>
        <v>3471.6336162328498</v>
      </c>
      <c r="AA73" s="154">
        <f>AA53*$C$37</f>
        <v>4153.9080995140612</v>
      </c>
      <c r="AB73" s="154">
        <f>AB53*$C$37</f>
        <v>4967.4347669176659</v>
      </c>
      <c r="AC73" s="154">
        <f>AC53*$C$37</f>
        <v>5936.2463121376168</v>
      </c>
      <c r="AD73" s="154">
        <f>AD53*$C$37</f>
        <v>7088.2565542867733</v>
      </c>
      <c r="AE73" s="154">
        <f>AE53*$C$37</f>
        <v>8455.6644841647376</v>
      </c>
      <c r="AF73" s="154">
        <f>AF53*$C$37</f>
        <v>10075.29911912892</v>
      </c>
      <c r="AG73" s="154">
        <f>AG53*$C$37</f>
        <v>11988.847290614784</v>
      </c>
      <c r="AH73" s="154">
        <f>AH53*$C$37</f>
        <v>14242.884289380059</v>
      </c>
      <c r="AI73" s="154">
        <f>AI53*$C$37</f>
        <v>16888.601394375404</v>
      </c>
      <c r="AJ73" s="154">
        <f>AJ53*$C$37</f>
        <v>19981.096816192385</v>
      </c>
      <c r="AK73" s="154">
        <f>AK53*$C$37</f>
        <v>23578.071949452809</v>
      </c>
      <c r="AL73" s="154">
        <f>AL53*$C$37</f>
        <v>27737.760862489798</v>
      </c>
      <c r="AM73" s="154">
        <f>AM53*$C$37</f>
        <v>32515.929657323082</v>
      </c>
      <c r="AN73" s="154">
        <f>AN53*$C$37</f>
        <v>37961.829907307714</v>
      </c>
      <c r="AO73" s="154">
        <f>AO53*$C$37</f>
        <v>44113.095358857892</v>
      </c>
      <c r="AP73" s="154">
        <f>AP53*$C$37</f>
        <v>50989.749248489788</v>
      </c>
      <c r="AQ73" s="154">
        <f>AQ53*$C$37</f>
        <v>58587.744569763883</v>
      </c>
      <c r="AR73" s="154">
        <f>AR53*$C$37</f>
        <v>66872.769669944755</v>
      </c>
      <c r="AS73" s="154">
        <f>AS53*$C$37</f>
        <v>75775.356280604246</v>
      </c>
      <c r="AT73" s="154">
        <f>AT53*$C$37</f>
        <v>85188.522917272581</v>
      </c>
      <c r="AU73" s="154">
        <f>AU53*$C$37</f>
        <v>94969.143063900425</v>
      </c>
      <c r="AV73" s="154">
        <f>AV53*$C$37</f>
        <v>104943.83354238892</v>
      </c>
      <c r="AW73" s="154">
        <f>AW53*$C$37</f>
        <v>114919.39205229406</v>
      </c>
      <c r="AX73" s="154">
        <f>AX53*$C$37</f>
        <v>124696.80379308399</v>
      </c>
      <c r="AY73" s="154">
        <f>AY53*$C$37</f>
        <v>139074.74382721327</v>
      </c>
      <c r="AZ73" s="154">
        <f>AZ53*$C$37</f>
        <v>153110.89797513947</v>
      </c>
      <c r="BA73" s="154">
        <f>BA53*$C$37</f>
        <v>166414.56641041936</v>
      </c>
      <c r="BB73" s="154">
        <f>BB53*$C$37</f>
        <v>178660.25443535214</v>
      </c>
      <c r="BC73" s="154">
        <f>BC53*$C$37</f>
        <v>189619.22898493186</v>
      </c>
      <c r="BD73" s="154">
        <f>BD53*$C$37</f>
        <v>199172.39194047547</v>
      </c>
      <c r="BE73" s="154">
        <f>BE53*$C$37</f>
        <v>207304.1242948992</v>
      </c>
      <c r="BF73" s="154">
        <f>BF53*$C$37</f>
        <v>214082.11417599997</v>
      </c>
      <c r="BG73" s="154">
        <f>BG53*$C$37</f>
        <v>219630.66996817407</v>
      </c>
      <c r="BH73" s="154">
        <f>BH53*$C$37</f>
        <v>224104.39956986686</v>
      </c>
      <c r="BI73" s="154">
        <f>BI53*$C$37</f>
        <v>227666.67356006434</v>
      </c>
      <c r="BJ73" s="154">
        <f>BJ53*$C$37</f>
        <v>230474.56096457492</v>
      </c>
      <c r="BK73" s="154">
        <f>BK53*$C$37</f>
        <v>232669.93234425934</v>
      </c>
      <c r="BL73" s="154">
        <f>BL53*$C$37</f>
        <v>234375.41868979938</v>
      </c>
      <c r="BM73" s="154">
        <f>BM53*$C$37</f>
        <v>235693.68228933244</v>
      </c>
      <c r="BN73" s="154">
        <f>BN53*$C$37</f>
        <v>236708.65416766747</v>
      </c>
      <c r="BO73" s="154">
        <f>BO53*$C$37</f>
        <v>237487.74421003927</v>
      </c>
      <c r="BP73" s="154">
        <f>BP53*$C$37</f>
        <v>238084.37417047564</v>
      </c>
      <c r="BQ73" s="154">
        <f>BQ53*$C$37</f>
        <v>238540.45474724277</v>
      </c>
      <c r="BR73" s="154">
        <f>BR53*$C$37</f>
        <v>238888.61533555968</v>
      </c>
    </row>
    <row r="74" spans="1:72" ht="12.75">
      <c r="B74" s="171" t="s">
        <v>126</v>
      </c>
      <c r="C74" s="169" cm="1">
        <f t="array" ref="C74">_xlfn.IFS(C56&lt;=$C$29,C56*$D$29,C56&lt;=$C$30,C56*$D$30,C56&lt;=$C$31,C56*$D$31,C56&lt;=$C$32,C56*$D$32,C56&lt;=$C$33,C56*$D$33,C56&lt;=$C$34,C56*$D$34,C56&gt;$C$34,C56*$D$35)</f>
        <v>0</v>
      </c>
      <c r="D74" s="169" cm="1">
        <f t="array" ref="D74">_xlfn.IFS(D56&lt;=$C$29,D56*$D$29,D56&lt;=$C$30,D56*$D$30,D56&lt;=$C$31,D56*$D$31,D56&lt;=$C$32,D56*$D$32,D56&lt;=$C$33,D56*$D$33,D56&lt;=$C$34,D56*$D$34,D56&gt;$C$34,D56*$D$35)</f>
        <v>4743.3168750000004</v>
      </c>
      <c r="E74" s="169" cm="1">
        <f t="array" ref="E74">_xlfn.IFS(E56&lt;=$C$29,E56*$D$29,E56&lt;=$C$30,E56*$D$30,E56&lt;=$C$31,E56*$D$31,E56&lt;=$C$32,E56*$D$32,E56&lt;=$C$33,E56*$D$33,E56&lt;=$C$34,E56*$D$34,E56&gt;$C$34,E56*$D$35)</f>
        <v>6165.1470677171483</v>
      </c>
      <c r="F74" s="169" cm="1">
        <f t="array" ref="F74">_xlfn.IFS(F56&lt;=$C$29,F56*$D$29,F56&lt;=$C$30,F56*$D$30,F56&lt;=$C$31,F56*$D$31,F56&lt;=$C$32,F56*$D$32,F56&lt;=$C$33,F56*$D$33,F56&lt;=$C$34,F56*$D$34,F56&gt;$C$34,F56*$D$35)</f>
        <v>8012.723313820451</v>
      </c>
      <c r="G74" s="169" cm="1">
        <f t="array" ref="G74">_xlfn.IFS(G56&lt;=$C$29,G56*$D$29,G56&lt;=$C$30,G56*$D$30,G56&lt;=$C$31,G56*$D$31,G56&lt;=$C$32,G56*$D$32,G56&lt;=$C$33,G56*$D$33,G56&lt;=$C$34,G56*$D$34,G56&gt;$C$34,G56*$D$35)</f>
        <v>5679.9361417360242</v>
      </c>
      <c r="H74" s="169" cm="1">
        <f t="array" ref="H74">_xlfn.IFS(H56&lt;=$C$29,H56*$D$29,H56&lt;=$C$30,H56*$D$30,H56&lt;=$C$31,H56*$D$31,H56&lt;=$C$32,H56*$D$32,H56&lt;=$C$33,H56*$D$33,H56&lt;=$C$34,H56*$D$34,H56&gt;$C$34,H56*$D$35)</f>
        <v>6739.4236160496657</v>
      </c>
      <c r="I74" s="169" cm="1">
        <f t="array" ref="I74">_xlfn.IFS(I56&lt;=$C$29,I56*$D$29,I56&lt;=$C$30,I56*$D$30,I56&lt;=$C$31,I56*$D$31,I56&lt;=$C$32,I56*$D$32,I56&lt;=$C$33,I56*$D$33,I56&lt;=$C$34,I56*$D$34,I56&gt;$C$34,I56*$D$35)</f>
        <v>8116.2351957915944</v>
      </c>
      <c r="J74" s="169" cm="1">
        <f t="array" ref="J74">_xlfn.IFS(J56&lt;=$C$29,J56*$D$29,J56&lt;=$C$30,J56*$D$30,J56&lt;=$C$31,J56*$D$31,J56&lt;=$C$32,J56*$D$32,J56&lt;=$C$33,J56*$D$33,J56&lt;=$C$34,J56*$D$34,J56&gt;$C$34,J56*$D$35)</f>
        <v>10546.639692190907</v>
      </c>
      <c r="K74" s="169" cm="1">
        <f t="array" ref="K74">_xlfn.IFS(K56&lt;=$C$29,K56*$D$29,K56&lt;=$C$30,K56*$D$30,K56&lt;=$C$31,K56*$D$31,K56&lt;=$C$32,K56*$D$32,K56&lt;=$C$33,K56*$D$33,K56&lt;=$C$34,K56*$D$34,K56&gt;$C$34,K56*$D$35)</f>
        <v>13703.090445644737</v>
      </c>
      <c r="L74" s="169" cm="1">
        <f t="array" ref="L74">_xlfn.IFS(L56&lt;=$C$29,L56*$D$29,L56&lt;=$C$30,L56*$D$30,L56&lt;=$C$31,L56*$D$31,L56&lt;=$C$32,L56*$D$32,L56&lt;=$C$33,L56*$D$33,L56&lt;=$C$34,L56*$D$34,L56&gt;$C$34,L56*$D$35)</f>
        <v>17801.28727018959</v>
      </c>
      <c r="M74" s="169" cm="1">
        <f t="array" ref="M74">_xlfn.IFS(M56&lt;=$C$29,M56*$D$29,M56&lt;=$C$30,M56*$D$30,M56&lt;=$C$31,M56*$D$31,M56&lt;=$C$32,M56*$D$32,M56&lt;=$C$33,M56*$D$33,M56&lt;=$C$34,M56*$D$34,M56&gt;$C$34,M56*$D$35)</f>
        <v>11560.095230701785</v>
      </c>
      <c r="N74" s="169" cm="1">
        <f t="array" ref="N74">_xlfn.IFS(N56&lt;=$C$29,N56*$D$29,N56&lt;=$C$30,N56*$D$30,N56&lt;=$C$31,N56*$D$31,N56&lt;=$C$32,N56*$D$32,N56&lt;=$C$33,N56*$D$33,N56&lt;=$C$34,N56*$D$34,N56&gt;$C$34,N56*$D$35)</f>
        <v>15010.004902964232</v>
      </c>
      <c r="O74" s="169" cm="1">
        <f t="array" ref="O74">_xlfn.IFS(O56&lt;=$C$29,O56*$D$29,O56&lt;=$C$30,O56*$D$30,O56&lt;=$C$31,O56*$D$31,O56&lt;=$C$32,O56*$D$32,O56&lt;=$C$33,O56*$D$33,O56&lt;=$C$34,O56*$D$34,O56&gt;$C$34,O56*$D$35)</f>
        <v>17796.252063707459</v>
      </c>
      <c r="P74" s="169" cm="1">
        <f t="array" ref="P74">_xlfn.IFS(P56&lt;=$C$29,P56*$D$29,P56&lt;=$C$30,P56*$D$30,P56&lt;=$C$31,P56*$D$31,P56&lt;=$C$32,P56*$D$32,P56&lt;=$C$33,P56*$D$33,P56&lt;=$C$34,P56*$D$34,P56&gt;$C$34,P56*$D$35)</f>
        <v>19554.716646520101</v>
      </c>
      <c r="Q74" s="169" cm="1">
        <f t="array" ref="Q74">_xlfn.IFS(Q56&lt;=$C$29,Q56*$D$29,Q56&lt;=$C$30,Q56*$D$30,Q56&lt;=$C$31,Q56*$D$31,Q56&lt;=$C$32,Q56*$D$32,Q56&lt;=$C$33,Q56*$D$33,Q56&lt;=$C$34,Q56*$D$34,Q56&gt;$C$34,Q56*$D$35)</f>
        <v>21484.639402827663</v>
      </c>
      <c r="R74" s="169" cm="1">
        <f t="array" ref="R74">_xlfn.IFS(R56&lt;=$C$29,R56*$D$29,R56&lt;=$C$30,R56*$D$30,R56&lt;=$C$31,R56*$D$31,R56&lt;=$C$32,R56*$D$32,R56&lt;=$C$33,R56*$D$33,R56&lt;=$C$34,R56*$D$34,R56&gt;$C$34,R56*$D$35)</f>
        <v>23602.262718798149</v>
      </c>
      <c r="S74" s="169" cm="1">
        <f t="array" ref="S74">_xlfn.IFS(S56&lt;=$C$29,S56*$D$29,S56&lt;=$C$30,S56*$D$30,S56&lt;=$C$31,S56*$D$31,S56&lt;=$C$32,S56*$D$32,S56&lt;=$C$33,S56*$D$33,S56&lt;=$C$34,S56*$D$34,S56&gt;$C$34,S56*$D$35)</f>
        <v>25925.269380974234</v>
      </c>
      <c r="T74" s="169" cm="1">
        <f t="array" ref="T74">_xlfn.IFS(T56&lt;=$C$29,T56*$D$29,T56&lt;=$C$30,T56*$D$30,T56&lt;=$C$31,T56*$D$31,T56&lt;=$C$32,T56*$D$32,T56&lt;=$C$33,T56*$D$33,T56&lt;=$C$34,T56*$D$34,T56&gt;$C$34,T56*$D$35)</f>
        <v>28472.889906479559</v>
      </c>
      <c r="U74" s="169" cm="1">
        <f t="array" ref="U74">_xlfn.IFS(U56&lt;=$C$29,U56*$D$29,U56&lt;=$C$30,U56*$D$30,U56&lt;=$C$31,U56*$D$31,U56&lt;=$C$32,U56*$D$32,U56&lt;=$C$33,U56*$D$33,U56&lt;=$C$34,U56*$D$34,U56&gt;$C$34,U56*$D$35)</f>
        <v>31266.013501808822</v>
      </c>
      <c r="V74" s="169" cm="1">
        <f t="array" ref="V74">_xlfn.IFS(V56&lt;=$C$29,V56*$D$29,V56&lt;=$C$30,V56*$D$30,V56&lt;=$C$31,V56*$D$31,V56&lt;=$C$32,V56*$D$32,V56&lt;=$C$33,V56*$D$33,V56&lt;=$C$34,V56*$D$34,V56&gt;$C$34,V56*$D$35)</f>
        <v>34327.301710925756</v>
      </c>
      <c r="W74" s="169" cm="1">
        <f t="array" ref="W74">_xlfn.IFS(W56&lt;=$C$29,W56*$D$29,W56&lt;=$C$30,W56*$D$30,W56&lt;=$C$31,W56*$D$31,W56&lt;=$C$32,W56*$D$32,W56&lt;=$C$33,W56*$D$33,W56&lt;=$C$34,W56*$D$34,W56&gt;$C$34,W56*$D$35)</f>
        <v>37681.303504249277</v>
      </c>
      <c r="X74" s="169" cm="1">
        <f t="array" ref="X74">_xlfn.IFS(X56&lt;=$C$29,X56*$D$29,X56&lt;=$C$30,X56*$D$30,X56&lt;=$C$31,X56*$D$31,X56&lt;=$C$32,X56*$D$32,X56&lt;=$C$33,X56*$D$33,X56&lt;=$C$34,X56*$D$34,X56&gt;$C$34,X56*$D$35)</f>
        <v>27569.713461412397</v>
      </c>
      <c r="Y74" s="169" cm="1">
        <f t="array" ref="Y74">_xlfn.IFS(Y56&lt;=$C$29,Y56*$D$29,Y56&lt;=$C$30,Y56*$D$30,Y56&lt;=$C$31,Y56*$D$31,Y56&lt;=$C$32,Y56*$D$32,Y56&lt;=$C$33,Y56*$D$33,Y56&lt;=$C$34,Y56*$D$34,Y56&gt;$C$34,Y56*$D$35)</f>
        <v>30250.512075062969</v>
      </c>
      <c r="Z74" s="169" cm="1">
        <f t="array" ref="Z74">_xlfn.IFS(Z56&lt;=$C$29,Z56*$D$29,Z56&lt;=$C$30,Z56*$D$30,Z56&lt;=$C$31,Z56*$D$31,Z56&lt;=$C$32,Z56*$D$32,Z56&lt;=$C$33,Z56*$D$33,Z56&lt;=$C$34,Z56*$D$34,Z56&gt;$C$34,Z56*$D$35)</f>
        <v>33183.85769161288</v>
      </c>
      <c r="AA74" s="169" cm="1">
        <f t="array" ref="AA74">_xlfn.IFS(AA56&lt;=$C$29,AA56*$D$29,AA56&lt;=$C$30,AA56*$D$30,AA56&lt;=$C$31,AA56*$D$31,AA56&lt;=$C$32,AA56*$D$32,AA56&lt;=$C$33,AA56*$D$33,AA56&lt;=$C$34,AA56*$D$34,AA56&gt;$C$34,AA56*$D$35)</f>
        <v>38127.708578734557</v>
      </c>
      <c r="AB74" s="169" cm="1">
        <f t="array" ref="AB74">_xlfn.IFS(AB56&lt;=$C$29,AB56*$D$29,AB56&lt;=$C$30,AB56*$D$30,AB56&lt;=$C$31,AB56*$D$31,AB56&lt;=$C$32,AB56*$D$32,AB56&lt;=$C$33,AB56*$D$33,AB56&lt;=$C$34,AB56*$D$34,AB56&gt;$C$34,AB56*$D$35)</f>
        <v>45606.714332158634</v>
      </c>
      <c r="AC74" s="169" cm="1">
        <f t="array" ref="AC74">_xlfn.IFS(AC56&lt;=$C$29,AC56*$D$29,AC56&lt;=$C$30,AC56*$D$30,AC56&lt;=$C$31,AC56*$D$31,AC56&lt;=$C$32,AC56*$D$32,AC56&lt;=$C$33,AC56*$D$33,AC56&lt;=$C$34,AC56*$D$34,AC56&gt;$C$34,AC56*$D$35)</f>
        <v>54518.405395276408</v>
      </c>
      <c r="AD74" s="169" cm="1">
        <f t="array" ref="AD74">_xlfn.IFS(AD56&lt;=$C$29,AD56*$D$29,AD56&lt;=$C$30,AD56*$D$30,AD56&lt;=$C$31,AD56*$D$31,AD56&lt;=$C$32,AD56*$D$32,AD56&lt;=$C$33,AD56*$D$33,AD56&lt;=$C$34,AD56*$D$34,AD56&gt;$C$34,AD56*$D$35)</f>
        <v>65122.514332121944</v>
      </c>
      <c r="AE74" s="169" cm="1">
        <f t="array" ref="AE74">_xlfn.IFS(AE56&lt;=$C$29,AE56*$D$29,AE56&lt;=$C$30,AE56*$D$30,AE56&lt;=$C$31,AE56*$D$31,AE56&lt;=$C$32,AE56*$D$32,AE56&lt;=$C$33,AE56*$D$33,AE56&lt;=$C$34,AE56*$D$34,AE56&gt;$C$34,AE56*$D$35)</f>
        <v>77719.605192257557</v>
      </c>
      <c r="AF74" s="169" cm="1">
        <f t="array" ref="AF74">_xlfn.IFS(AF56&lt;=$C$29,AF56*$D$29,AF56&lt;=$C$30,AF56*$D$30,AF56&lt;=$C$31,AF56*$D$31,AF56&lt;=$C$32,AF56*$D$32,AF56&lt;=$C$33,AF56*$D$33,AF56&lt;=$C$34,AF56*$D$34,AF56&gt;$C$34,AF56*$D$35)</f>
        <v>92654.818016468285</v>
      </c>
      <c r="AG74" s="169" cm="1">
        <f t="array" ref="AG74">_xlfn.IFS(AG56&lt;=$C$29,AG56*$D$29,AG56&lt;=$C$30,AG56*$D$30,AG56&lt;=$C$31,AG56*$D$31,AG56&lt;=$C$32,AG56*$D$32,AG56&lt;=$C$33,AG56*$D$33,AG56&lt;=$C$34,AG56*$D$34,AG56&gt;$C$34,AG56*$D$35)</f>
        <v>66192.439229231109</v>
      </c>
      <c r="AH74" s="169" cm="1">
        <f t="array" ref="AH74">_xlfn.IFS(AH56&lt;=$C$29,AH56*$D$29,AH56&lt;=$C$30,AH56*$D$30,AH56&lt;=$C$31,AH56*$D$31,AH56&lt;=$C$32,AH56*$D$32,AH56&lt;=$C$33,AH56*$D$33,AH56&lt;=$C$34,AH56*$D$34,AH56&gt;$C$34,AH56*$D$35)</f>
        <v>78695.194739984523</v>
      </c>
      <c r="AI74" s="169" cm="1">
        <f t="array" ref="AI74">_xlfn.IFS(AI56&lt;=$C$29,AI56*$D$29,AI56&lt;=$C$30,AI56*$D$30,AI56&lt;=$C$31,AI56*$D$31,AI56&lt;=$C$32,AI56*$D$32,AI56&lt;=$C$33,AI56*$D$33,AI56&lt;=$C$34,AI56*$D$34,AI56&gt;$C$34,AI56*$D$35)</f>
        <v>93394.457051266392</v>
      </c>
      <c r="AJ74" s="169" cm="1">
        <f t="array" ref="AJ74">_xlfn.IFS(AJ56&lt;=$C$29,AJ56*$D$29,AJ56&lt;=$C$30,AJ56*$D$30,AJ56&lt;=$C$31,AJ56*$D$31,AJ56&lt;=$C$32,AJ56*$D$32,AJ56&lt;=$C$33,AJ56*$D$33,AJ56&lt;=$C$34,AJ56*$D$34,AJ56&gt;$C$34,AJ56*$D$35)</f>
        <v>110609.09463170334</v>
      </c>
      <c r="AK74" s="169" cm="1">
        <f t="array" ref="AK74">_xlfn.IFS(AK56&lt;=$C$29,AK56*$D$29,AK56&lt;=$C$30,AK56*$D$30,AK56&lt;=$C$31,AK56*$D$31,AK56&lt;=$C$32,AK56*$D$32,AK56&lt;=$C$33,AK56*$D$33,AK56&lt;=$C$34,AK56*$D$34,AK56&gt;$C$34,AK56*$D$35)</f>
        <v>130677.50629693558</v>
      </c>
      <c r="AL74" s="169" cm="1">
        <f t="array" ref="AL74">_xlfn.IFS(AL56&lt;=$C$29,AL56*$D$29,AL56&lt;=$C$30,AL56*$D$30,AL56&lt;=$C$31,AL56*$D$31,AL56&lt;=$C$32,AL56*$D$32,AL56&lt;=$C$33,AL56*$D$33,AL56&lt;=$C$34,AL56*$D$34,AL56&gt;$C$34,AL56*$D$35)</f>
        <v>153947.49843582782</v>
      </c>
      <c r="AM74" s="169" cm="1">
        <f t="array" ref="AM74">_xlfn.IFS(AM56&lt;=$C$29,AM56*$D$29,AM56&lt;=$C$30,AM56*$D$30,AM56&lt;=$C$31,AM56*$D$31,AM56&lt;=$C$32,AM56*$D$32,AM56&lt;=$C$33,AM56*$D$33,AM56&lt;=$C$34,AM56*$D$34,AM56&gt;$C$34,AM56*$D$35)</f>
        <v>180761.07155943863</v>
      </c>
      <c r="AN74" s="169" cm="1">
        <f t="array" ref="AN74">_xlfn.IFS(AN56&lt;=$C$29,AN56*$D$29,AN56&lt;=$C$30,AN56*$D$30,AN56&lt;=$C$31,AN56*$D$31,AN56&lt;=$C$32,AN56*$D$32,AN56&lt;=$C$33,AN56*$D$33,AN56&lt;=$C$34,AN56*$D$34,AN56&gt;$C$34,AN56*$D$35)</f>
        <v>211433.27869389241</v>
      </c>
      <c r="AO74" s="169" cm="1">
        <f t="array" ref="AO74">_xlfn.IFS(AO56&lt;=$C$29,AO56*$D$29,AO56&lt;=$C$30,AO56*$D$30,AO56&lt;=$C$31,AO56*$D$31,AO56&lt;=$C$32,AO56*$D$32,AO56&lt;=$C$33,AO56*$D$33,AO56&lt;=$C$34,AO56*$D$34,AO56&gt;$C$34,AO56*$D$35)</f>
        <v>246224.77579849685</v>
      </c>
      <c r="AP74" s="169" cm="1">
        <f t="array" ref="AP74">_xlfn.IFS(AP56&lt;=$C$29,AP56*$D$29,AP56&lt;=$C$30,AP56*$D$30,AP56&lt;=$C$31,AP56*$D$31,AP56&lt;=$C$32,AP56*$D$32,AP56&lt;=$C$33,AP56*$D$33,AP56&lt;=$C$34,AP56*$D$34,AP56&gt;$C$34,AP56*$D$35)</f>
        <v>285308.53382204298</v>
      </c>
      <c r="AQ74" s="169" cm="1">
        <f t="array" ref="AQ74">_xlfn.IFS(AQ56&lt;=$C$29,AQ56*$D$29,AQ56&lt;=$C$30,AQ56*$D$30,AQ56&lt;=$C$31,AQ56*$D$31,AQ56&lt;=$C$32,AQ56*$D$32,AQ56&lt;=$C$33,AQ56*$D$33,AQ56&lt;=$C$34,AQ56*$D$34,AQ56&gt;$C$34,AQ56*$D$35)</f>
        <v>328732.48145476094</v>
      </c>
      <c r="AR74" s="169" cm="1">
        <f t="array" ref="AR74">_xlfn.IFS(AR56&lt;=$C$29,AR56*$D$29,AR56&lt;=$C$30,AR56*$D$30,AR56&lt;=$C$31,AR56*$D$31,AR56&lt;=$C$32,AR56*$D$32,AR56&lt;=$C$33,AR56*$D$33,AR56&lt;=$C$34,AR56*$D$34,AR56&gt;$C$34,AR56*$D$35)</f>
        <v>376381.54271912592</v>
      </c>
      <c r="AS74" s="169" cm="1">
        <f t="array" ref="AS74">_xlfn.IFS(AS56&lt;=$C$29,AS56*$D$29,AS56&lt;=$C$30,AS56*$D$30,AS56&lt;=$C$31,AS56*$D$31,AS56&lt;=$C$32,AS56*$D$32,AS56&lt;=$C$33,AS56*$D$33,AS56&lt;=$C$34,AS56*$D$34,AS56&gt;$C$34,AS56*$D$35)</f>
        <v>427944.37785164692</v>
      </c>
      <c r="AT74" s="169" cm="1">
        <f t="array" ref="AT74">_xlfn.IFS(AT56&lt;=$C$29,AT56*$D$29,AT56&lt;=$C$30,AT56*$D$30,AT56&lt;=$C$31,AT56*$D$31,AT56&lt;=$C$32,AT56*$D$32,AT56&lt;=$C$33,AT56*$D$33,AT56&lt;=$C$34,AT56*$D$34,AT56&gt;$C$34,AT56*$D$35)</f>
        <v>482891.63759363047</v>
      </c>
      <c r="AU74" s="169" cm="1">
        <f t="array" ref="AU74">_xlfn.IFS(AU56&lt;=$C$29,AU56*$D$29,AU56&lt;=$C$30,AU56*$D$30,AU56&lt;=$C$31,AU56*$D$31,AU56&lt;=$C$32,AU56*$D$32,AU56&lt;=$C$33,AU56*$D$33,AU56&lt;=$C$34,AU56*$D$34,AU56&gt;$C$34,AU56*$D$35)</f>
        <v>540472.99794351903</v>
      </c>
      <c r="AV74" s="169" cm="1">
        <f t="array" ref="AV74">_xlfn.IFS(AV56&lt;=$C$29,AV56*$D$29,AV56&lt;=$C$30,AV56*$D$30,AV56&lt;=$C$31,AV56*$D$31,AV56&lt;=$C$32,AV56*$D$32,AV56&lt;=$C$33,AV56*$D$33,AV56&lt;=$C$34,AV56*$D$34,AV56&gt;$C$34,AV56*$D$35)</f>
        <v>599738.92981886806</v>
      </c>
      <c r="AW74" s="169" cm="1">
        <f t="array" ref="AW74">_xlfn.IFS(AW56&lt;=$C$29,AW56*$D$29,AW56&lt;=$C$30,AW56*$D$30,AW56&lt;=$C$31,AW56*$D$31,AW56&lt;=$C$32,AW56*$D$32,AW56&lt;=$C$33,AW56*$D$33,AW56&lt;=$C$34,AW56*$D$34,AW56&gt;$C$34,AW56*$D$35)</f>
        <v>659589.67678404902</v>
      </c>
      <c r="AX74" s="169" cm="1">
        <f t="array" ref="AX74">_xlfn.IFS(AX56&lt;=$C$29,AX56*$D$29,AX56&lt;=$C$30,AX56*$D$30,AX56&lt;=$C$31,AX56*$D$31,AX56&lt;=$C$32,AX56*$D$32,AX56&lt;=$C$33,AX56*$D$33,AX56&lt;=$C$34,AX56*$D$34,AX56&gt;$C$34,AX56*$D$35)</f>
        <v>718848.58753613418</v>
      </c>
      <c r="AY74" s="169" cm="1">
        <f t="array" ref="AY74">_xlfn.IFS(AY56&lt;=$C$29,AY56*$D$29,AY56&lt;=$C$30,AY56*$D$30,AY56&lt;=$C$31,AY56*$D$31,AY56&lt;=$C$32,AY56*$D$32,AY56&lt;=$C$33,AY56*$D$33,AY56&lt;=$C$34,AY56*$D$34,AY56&gt;$C$34,AY56*$D$35)</f>
        <v>791314.64286089188</v>
      </c>
      <c r="AZ74" s="169" cm="1">
        <f t="array" ref="AZ74">_xlfn.IFS(AZ56&lt;=$C$29,AZ56*$D$29,AZ56&lt;=$C$30,AZ56*$D$30,AZ56&lt;=$C$31,AZ56*$D$31,AZ56&lt;=$C$32,AZ56*$D$32,AZ56&lt;=$C$33,AZ56*$D$33,AZ56&lt;=$C$34,AZ56*$D$34,AZ56&gt;$C$34,AZ56*$D$35)</f>
        <v>876556.92540705833</v>
      </c>
      <c r="BA74" s="169" cm="1">
        <f t="array" ref="BA74">_xlfn.IFS(BA56&lt;=$C$29,BA56*$D$29,BA56&lt;=$C$30,BA56*$D$30,BA56&lt;=$C$31,BA56*$D$31,BA56&lt;=$C$32,BA56*$D$32,BA56&lt;=$C$33,BA56*$D$33,BA56&lt;=$C$34,BA56*$D$34,BA56&gt;$C$34,BA56*$D$35)</f>
        <v>958576.39315667632</v>
      </c>
      <c r="BB74" s="169" cm="1">
        <f t="array" ref="BB74">_xlfn.IFS(BB56&lt;=$C$29,BB56*$D$29,BB56&lt;=$C$30,BB56*$D$30,BB56&lt;=$C$31,BB56*$D$31,BB56&lt;=$C$32,BB56*$D$32,BB56&lt;=$C$33,BB56*$D$33,BB56&lt;=$C$34,BB56*$D$34,BB56&gt;$C$34,BB56*$D$35)</f>
        <v>1035224.4625373145</v>
      </c>
      <c r="BC74" s="169" cm="1">
        <f t="array" ref="BC74">_xlfn.IFS(BC56&lt;=$C$29,BC56*$D$29,BC56&lt;=$C$30,BC56*$D$30,BC56&lt;=$C$31,BC56*$D$31,BC56&lt;=$C$32,BC56*$D$32,BC56&lt;=$C$33,BC56*$D$33,BC56&lt;=$C$34,BC56*$D$34,BC56&gt;$C$34,BC56*$D$35)</f>
        <v>1104838.450260852</v>
      </c>
      <c r="BD74" s="169" cm="1">
        <f t="array" ref="BD74">_xlfn.IFS(BD56&lt;=$C$29,BD56*$D$29,BD56&lt;=$C$30,BD56*$D$30,BD56&lt;=$C$31,BD56*$D$31,BD56&lt;=$C$32,BD56*$D$32,BD56&lt;=$C$33,BD56*$D$33,BD56&lt;=$C$34,BD56*$D$34,BD56&gt;$C$34,BD56*$D$35)</f>
        <v>1166374.8627762219</v>
      </c>
      <c r="BE74" s="169" cm="1">
        <f t="array" ref="BE74">_xlfn.IFS(BE56&lt;=$C$29,BE56*$D$29,BE56&lt;=$C$30,BE56*$D$30,BE56&lt;=$C$31,BE56*$D$31,BE56&lt;=$C$32,BE56*$D$32,BE56&lt;=$C$33,BE56*$D$33,BE56&lt;=$C$34,BE56*$D$34,BE56&gt;$C$34,BE56*$D$35)</f>
        <v>1219429.5487061241</v>
      </c>
      <c r="BF74" s="169" cm="1">
        <f t="array" ref="BF74">_xlfn.IFS(BF56&lt;=$C$29,BF56*$D$29,BF56&lt;=$C$30,BF56*$D$30,BF56&lt;=$C$31,BF56*$D$31,BF56&lt;=$C$32,BF56*$D$32,BF56&lt;=$C$33,BF56*$D$33,BF56&lt;=$C$34,BF56*$D$34,BF56&gt;$C$34,BF56*$D$35)</f>
        <v>1264158.7154126973</v>
      </c>
      <c r="BG74" s="169" cm="1">
        <f t="array" ref="BG74">_xlfn.IFS(BG56&lt;=$C$29,BG56*$D$29,BG56&lt;=$C$30,BG56*$D$30,BG56&lt;=$C$31,BG56*$D$31,BG56&lt;=$C$32,BG56*$D$32,BG56&lt;=$C$33,BG56*$D$33,BG56&lt;=$C$34,BG56*$D$34,BG56&gt;$C$34,BG56*$D$35)</f>
        <v>1301138.3524325222</v>
      </c>
      <c r="BH74" s="169" cm="1">
        <f t="array" ref="BH74">_xlfn.IFS(BH56&lt;=$C$29,BH56*$D$29,BH56&lt;=$C$30,BH56*$D$30,BH56&lt;=$C$31,BH56*$D$31,BH56&lt;=$C$32,BH56*$D$32,BH56&lt;=$C$33,BH56*$D$33,BH56&lt;=$C$34,BH56*$D$34,BH56&gt;$C$34,BH56*$D$35)</f>
        <v>1331205.2086141228</v>
      </c>
      <c r="BI74" s="169" cm="1">
        <f t="array" ref="BI74">_xlfn.IFS(BI56&lt;=$C$29,BI56*$D$29,BI56&lt;=$C$30,BI56*$D$30,BI56&lt;=$C$31,BI56*$D$31,BI56&lt;=$C$32,BI56*$D$32,BI56&lt;=$C$33,BI56*$D$33,BI56&lt;=$C$34,BI56*$D$34,BI56&gt;$C$34,BI56*$D$35)</f>
        <v>1355313.2193897937</v>
      </c>
      <c r="BJ74" s="169" cm="1">
        <f t="array" ref="BJ74">_xlfn.IFS(BJ56&lt;=$C$29,BJ56*$D$29,BJ56&lt;=$C$30,BJ56*$D$30,BJ56&lt;=$C$31,BJ56*$D$31,BJ56&lt;=$C$32,BJ56*$D$32,BJ56&lt;=$C$33,BJ56*$D$33,BJ56&lt;=$C$34,BJ56*$D$34,BJ56&gt;$C$34,BJ56*$D$35)</f>
        <v>1374423.7035739177</v>
      </c>
      <c r="BK74" s="169" cm="1">
        <f t="array" ref="BK74">_xlfn.IFS(BK56&lt;=$C$29,BK56*$D$29,BK56&lt;=$C$30,BK56*$D$30,BK56&lt;=$C$31,BK56*$D$31,BK56&lt;=$C$32,BK56*$D$32,BK56&lt;=$C$33,BK56*$D$33,BK56&lt;=$C$34,BK56*$D$34,BK56&gt;$C$34,BK56*$D$35)</f>
        <v>1389433.4799265026</v>
      </c>
      <c r="BL74" s="169" cm="1">
        <f t="array" ref="BL74">_xlfn.IFS(BL56&lt;=$C$29,BL56*$D$29,BL56&lt;=$C$30,BL56*$D$30,BL56&lt;=$C$31,BL56*$D$31,BL56&lt;=$C$32,BL56*$D$32,BL56&lt;=$C$33,BL56*$D$33,BL56&lt;=$C$34,BL56*$D$34,BL56&gt;$C$34,BL56*$D$35)</f>
        <v>1401136.0531021759</v>
      </c>
      <c r="BM74" s="169" cm="1">
        <f t="array" ref="BM74">_xlfn.IFS(BM56&lt;=$C$29,BM56*$D$29,BM56&lt;=$C$30,BM56*$D$30,BM56&lt;=$C$31,BM56*$D$31,BM56&lt;=$C$32,BM56*$D$32,BM56&lt;=$C$33,BM56*$D$33,BM56&lt;=$C$34,BM56*$D$34,BM56&gt;$C$34,BM56*$D$35)</f>
        <v>1410207.3029373954</v>
      </c>
      <c r="BN74" s="169" cm="1">
        <f t="array" ref="BN74">_xlfn.IFS(BN56&lt;=$C$29,BN56*$D$29,BN56&lt;=$C$30,BN56*$D$30,BN56&lt;=$C$31,BN56*$D$31,BN56&lt;=$C$32,BN56*$D$32,BN56&lt;=$C$33,BN56*$D$33,BN56&lt;=$C$34,BN56*$D$34,BN56&gt;$C$34,BN56*$D$35)</f>
        <v>1417207.0093709996</v>
      </c>
      <c r="BO74" s="169" cm="1">
        <f t="array" ref="BO74">_xlfn.IFS(BO56&lt;=$C$29,BO56*$D$29,BO56&lt;=$C$30,BO56*$D$30,BO56&lt;=$C$31,BO56*$D$31,BO56&lt;=$C$32,BO56*$D$32,BO56&lt;=$C$33,BO56*$D$33,BO56&lt;=$C$34,BO56*$D$34,BO56&gt;$C$34,BO56*$D$35)</f>
        <v>1422589.1951331201</v>
      </c>
      <c r="BP74" s="169" cm="1">
        <f t="array" ref="BP74">_xlfn.IFS(BP56&lt;=$C$29,BP56*$D$29,BP56&lt;=$C$30,BP56*$D$30,BP56&lt;=$C$31,BP56*$D$31,BP56&lt;=$C$32,BP56*$D$32,BP56&lt;=$C$33,BP56*$D$33,BP56&lt;=$C$34,BP56*$D$34,BP56&gt;$C$34,BP56*$D$35)</f>
        <v>1426716.3551415447</v>
      </c>
      <c r="BQ74" s="169" cm="1">
        <f t="array" ref="BQ74">_xlfn.IFS(BQ56&lt;=$C$29,BQ56*$D$29,BQ56&lt;=$C$30,BQ56*$D$30,BQ56&lt;=$C$31,BQ56*$D$31,BQ56&lt;=$C$32,BQ56*$D$32,BQ56&lt;=$C$33,BQ56*$D$33,BQ56&lt;=$C$34,BQ56*$D$34,BQ56&gt;$C$34,BQ56*$D$35)</f>
        <v>1429874.4867531552</v>
      </c>
      <c r="BR74" s="169" cm="1">
        <f t="array" ref="BR74">_xlfn.IFS(BR56&lt;=$C$29,BR56*$D$29,BR56&lt;=$C$30,BR56*$D$30,BR56&lt;=$C$31,BR56*$D$31,BR56&lt;=$C$32,BR56*$D$32,BR56&lt;=$C$33,BR56*$D$33,BR56&lt;=$C$34,BR56*$D$34,BR56&gt;$C$34,BR56*$D$35)</f>
        <v>1432287.2102484072</v>
      </c>
      <c r="BT74" s="113"/>
    </row>
    <row r="75" spans="1:72" ht="12.75">
      <c r="B75" s="170" t="s">
        <v>190</v>
      </c>
      <c r="C75" s="154">
        <f>SUM(C73:C74)</f>
        <v>0</v>
      </c>
      <c r="D75" s="154">
        <f>SUM(D73:D74)</f>
        <v>4840.8011250000009</v>
      </c>
      <c r="E75" s="154">
        <f>SUM(E73:E74)</f>
        <v>6291.8499838159532</v>
      </c>
      <c r="F75" s="154">
        <f>SUM(F73:F74)</f>
        <v>8177.3921545878438</v>
      </c>
      <c r="G75" s="154">
        <f>SUM(G73:G74)</f>
        <v>5893.9297104176994</v>
      </c>
      <c r="H75" s="154">
        <f>SUM(H73:H74)</f>
        <v>6974.7249551046343</v>
      </c>
      <c r="I75" s="154">
        <f>SUM(I73:I74)</f>
        <v>8422.0162031227319</v>
      </c>
      <c r="J75" s="154">
        <f>SUM(J73:J74)</f>
        <v>10943.967997672496</v>
      </c>
      <c r="K75" s="154">
        <f>SUM(K73:K74)</f>
        <v>14219.30150320613</v>
      </c>
      <c r="L75" s="154">
        <f>SUM(L73:L74)</f>
        <v>18471.828697307505</v>
      </c>
      <c r="M75" s="154">
        <f>SUM(M73:M74)</f>
        <v>12430.899834344109</v>
      </c>
      <c r="N75" s="154">
        <f>SUM(N73:N74)</f>
        <v>16140.534286383805</v>
      </c>
      <c r="O75" s="154">
        <f>SUM(O73:O74)</f>
        <v>19038.556288782216</v>
      </c>
      <c r="P75" s="154">
        <f>SUM(P73:P74)</f>
        <v>20919.707974314693</v>
      </c>
      <c r="Q75" s="154">
        <f>SUM(Q73:Q74)</f>
        <v>22984.26666207676</v>
      </c>
      <c r="R75" s="154">
        <f>SUM(R73:R74)</f>
        <v>25249.603822055473</v>
      </c>
      <c r="S75" s="154">
        <f>SUM(S73:S74)</f>
        <v>27734.63086184681</v>
      </c>
      <c r="T75" s="154">
        <f>SUM(T73:T74)</f>
        <v>30459.913746470927</v>
      </c>
      <c r="U75" s="154">
        <f>SUM(U73:U74)</f>
        <v>33447.791462058631</v>
      </c>
      <c r="V75" s="154">
        <f>SUM(V73:V74)</f>
        <v>36722.497312132713</v>
      </c>
      <c r="W75" s="154">
        <f>SUM(W73:W74)</f>
        <v>40310.281703608889</v>
      </c>
      <c r="X75" s="154">
        <f>SUM(X73:X74)</f>
        <v>30454.677954335264</v>
      </c>
      <c r="Y75" s="154">
        <f>SUM(Y73:Y74)</f>
        <v>33415.649997152694</v>
      </c>
      <c r="Z75" s="154">
        <f>SUM(Z73:Z74)</f>
        <v>36655.491307845732</v>
      </c>
      <c r="AA75" s="154">
        <f>SUM(AA73:AA74)</f>
        <v>42281.616678248618</v>
      </c>
      <c r="AB75" s="154">
        <f>SUM(AB73:AB74)</f>
        <v>50574.149099076298</v>
      </c>
      <c r="AC75" s="154">
        <f>SUM(AC73:AC74)</f>
        <v>60454.651707414028</v>
      </c>
      <c r="AD75" s="154">
        <f>SUM(AD73:AD74)</f>
        <v>72210.770886408718</v>
      </c>
      <c r="AE75" s="154">
        <f>SUM(AE73:AE74)</f>
        <v>86175.269676422293</v>
      </c>
      <c r="AF75" s="154">
        <f>SUM(AF73:AF74)</f>
        <v>102730.1171355972</v>
      </c>
      <c r="AG75" s="154">
        <f>SUM(AG73:AG74)</f>
        <v>78181.286519845889</v>
      </c>
      <c r="AH75" s="154">
        <f>SUM(AH73:AH74)</f>
        <v>92938.079029364584</v>
      </c>
      <c r="AI75" s="154">
        <f>SUM(AI73:AI74)</f>
        <v>110283.0584456418</v>
      </c>
      <c r="AJ75" s="154">
        <f>SUM(AJ73:AJ74)</f>
        <v>130590.19144789572</v>
      </c>
      <c r="AK75" s="154">
        <f>SUM(AK73:AK74)</f>
        <v>154255.57824638838</v>
      </c>
      <c r="AL75" s="154">
        <f>SUM(AL73:AL74)</f>
        <v>181685.2592983176</v>
      </c>
      <c r="AM75" s="154">
        <f>SUM(AM73:AM74)</f>
        <v>213277.00121676171</v>
      </c>
      <c r="AN75" s="154">
        <f>SUM(AN73:AN74)</f>
        <v>249395.10860120013</v>
      </c>
      <c r="AO75" s="154">
        <f>SUM(AO73:AO74)</f>
        <v>290337.87115735473</v>
      </c>
      <c r="AP75" s="154">
        <f>SUM(AP73:AP74)</f>
        <v>336298.28307053278</v>
      </c>
      <c r="AQ75" s="154">
        <f>SUM(AQ73:AQ74)</f>
        <v>387320.22602452483</v>
      </c>
      <c r="AR75" s="154">
        <f>SUM(AR73:AR74)</f>
        <v>443254.31238907069</v>
      </c>
      <c r="AS75" s="154">
        <f>SUM(AS73:AS74)</f>
        <v>503719.73413225118</v>
      </c>
      <c r="AT75" s="154">
        <f>SUM(AT73:AT74)</f>
        <v>568080.16051090299</v>
      </c>
      <c r="AU75" s="154">
        <f>SUM(AU73:AU74)</f>
        <v>635442.14100741944</v>
      </c>
      <c r="AV75" s="154">
        <f>SUM(AV73:AV74)</f>
        <v>704682.76336125704</v>
      </c>
      <c r="AW75" s="154">
        <f>SUM(AW73:AW74)</f>
        <v>774509.06883634313</v>
      </c>
      <c r="AX75" s="154">
        <f>SUM(AX73:AX74)</f>
        <v>843545.39132921817</v>
      </c>
      <c r="AY75" s="154">
        <f>SUM(AY73:AY74)</f>
        <v>930389.38668810518</v>
      </c>
      <c r="AZ75" s="154">
        <f>SUM(AZ73:AZ74)</f>
        <v>1029667.8233821978</v>
      </c>
      <c r="BA75" s="154">
        <f>SUM(BA73:BA74)</f>
        <v>1124990.9595670956</v>
      </c>
      <c r="BB75" s="154">
        <f>SUM(BB73:BB74)</f>
        <v>1213884.7169726666</v>
      </c>
      <c r="BC75" s="154">
        <f>SUM(BC73:BC74)</f>
        <v>1294457.6792457839</v>
      </c>
      <c r="BD75" s="154">
        <f>SUM(BD73:BD74)</f>
        <v>1365547.2547166974</v>
      </c>
      <c r="BE75" s="154">
        <f>SUM(BE73:BE74)</f>
        <v>1426733.6730010232</v>
      </c>
      <c r="BF75" s="154">
        <f>SUM(BF73:BF74)</f>
        <v>1478240.8295886973</v>
      </c>
      <c r="BG75" s="154">
        <f>SUM(BG73:BG74)</f>
        <v>1520769.0224006963</v>
      </c>
      <c r="BH75" s="154">
        <f>SUM(BH73:BH74)</f>
        <v>1555309.6081839898</v>
      </c>
      <c r="BI75" s="154">
        <f>SUM(BI73:BI74)</f>
        <v>1582979.892949858</v>
      </c>
      <c r="BJ75" s="154">
        <f>SUM(BJ73:BJ74)</f>
        <v>1604898.2645384925</v>
      </c>
      <c r="BK75" s="154">
        <f>SUM(BK73:BK74)</f>
        <v>1622103.412270762</v>
      </c>
      <c r="BL75" s="154">
        <f>SUM(BL73:BL74)</f>
        <v>1635511.4717919752</v>
      </c>
      <c r="BM75" s="154">
        <f>SUM(BM73:BM74)</f>
        <v>1645900.9852267278</v>
      </c>
      <c r="BN75" s="154">
        <f>SUM(BN73:BN74)</f>
        <v>1653915.6635386671</v>
      </c>
      <c r="BO75" s="154">
        <f>SUM(BO73:BO74)</f>
        <v>1660076.9393431593</v>
      </c>
      <c r="BP75" s="154">
        <f>SUM(BP73:BP74)</f>
        <v>1664800.7293120204</v>
      </c>
      <c r="BQ75" s="154">
        <f>SUM(BQ73:BQ74)</f>
        <v>1668414.9415003981</v>
      </c>
      <c r="BR75" s="154">
        <f>SUM(BR73:BR74)</f>
        <v>1671175.8255839669</v>
      </c>
      <c r="BT75" s="113"/>
    </row>
    <row r="76" spans="1:72" s="124" customFormat="1" ht="7.5" customHeight="1">
      <c r="A76" s="123"/>
    </row>
    <row r="77" spans="1:72" ht="12.75">
      <c r="B77" s="173" t="s">
        <v>125</v>
      </c>
      <c r="C77" s="172">
        <f>C70-C75</f>
        <v>0</v>
      </c>
      <c r="D77" s="172">
        <f>D70-D75</f>
        <v>-4840.8011250000009</v>
      </c>
      <c r="E77" s="172">
        <f>E70-E75</f>
        <v>-6291.8499838159532</v>
      </c>
      <c r="F77" s="172">
        <f>F70-F75</f>
        <v>-8177.3921545878438</v>
      </c>
      <c r="G77" s="172">
        <f>G70-G75</f>
        <v>-5893.9297104176994</v>
      </c>
      <c r="H77" s="172">
        <f>H70-H75</f>
        <v>-6974.7249551046343</v>
      </c>
      <c r="I77" s="172">
        <f>I70-I75</f>
        <v>-8422.0162031227319</v>
      </c>
      <c r="J77" s="172">
        <f>J70-J75</f>
        <v>-10943.967997672496</v>
      </c>
      <c r="K77" s="172">
        <f>K70-K75</f>
        <v>-14219.30150320613</v>
      </c>
      <c r="L77" s="172">
        <f>L70-L75</f>
        <v>-18471.828697307505</v>
      </c>
      <c r="M77" s="172">
        <f>M70-M75</f>
        <v>-12430.899834344109</v>
      </c>
      <c r="N77" s="172">
        <f>N70-N75</f>
        <v>-16140.534286383805</v>
      </c>
      <c r="O77" s="172">
        <f>O70-O75</f>
        <v>-16072.514278164306</v>
      </c>
      <c r="P77" s="172">
        <f>P70-P75</f>
        <v>-17660.588533228009</v>
      </c>
      <c r="Q77" s="172">
        <f>Q70-Q75</f>
        <v>-19403.493428272148</v>
      </c>
      <c r="R77" s="172">
        <f>R70-R75</f>
        <v>-21315.893368922447</v>
      </c>
      <c r="S77" s="172">
        <f>S70-S75</f>
        <v>-23413.752631684438</v>
      </c>
      <c r="T77" s="172">
        <f>T70-T75</f>
        <v>-25714.432095390999</v>
      </c>
      <c r="U77" s="172">
        <f>U70-U75</f>
        <v>-28236.789211757161</v>
      </c>
      <c r="V77" s="172">
        <f>V70-V75</f>
        <v>-31001.280360311754</v>
      </c>
      <c r="W77" s="172">
        <f>W70-W75</f>
        <v>-34030.064452900675</v>
      </c>
      <c r="X77" s="172">
        <f>X70-X75</f>
        <v>-23562.249588982166</v>
      </c>
      <c r="Y77" s="172">
        <f>Y70-Y75</f>
        <v>-25853.021978386951</v>
      </c>
      <c r="Z77" s="172">
        <f>Z70-Z75</f>
        <v>-28359.526884942512</v>
      </c>
      <c r="AA77" s="172">
        <f>AA70-AA75</f>
        <v>-20040.453340653457</v>
      </c>
      <c r="AB77" s="172">
        <f>AB70-AB75</f>
        <v>-23970.232405317092</v>
      </c>
      <c r="AC77" s="172">
        <f>AC70-AC75</f>
        <v>-28652.248560169453</v>
      </c>
      <c r="AD77" s="172">
        <f>AD70-AD75</f>
        <v>-34222.637526004248</v>
      </c>
      <c r="AE77" s="172">
        <f>AE70-AE75</f>
        <v>-40838.833314272051</v>
      </c>
      <c r="AF77" s="172">
        <f>AF70-AF75</f>
        <v>-48681.473292657371</v>
      </c>
      <c r="AG77" s="172">
        <f>AG70-AG75</f>
        <v>-13827.526158093417</v>
      </c>
      <c r="AH77" s="172">
        <f>AH70-AH75</f>
        <v>-16428.861921046293</v>
      </c>
      <c r="AI77" s="172">
        <f>AI70-AI75</f>
        <v>-19482.891868021703</v>
      </c>
      <c r="AJ77" s="172">
        <f>AJ70-AJ75</f>
        <v>-23053.571667073018</v>
      </c>
      <c r="AK77" s="172">
        <f>AK70-AK75</f>
        <v>-27208.002679923215</v>
      </c>
      <c r="AL77" s="172">
        <f>AL70-AL75</f>
        <v>-32014.080263484997</v>
      </c>
      <c r="AM77" s="172">
        <f>AM70-AM75</f>
        <v>138202.86014881346</v>
      </c>
      <c r="AN77" s="172">
        <f>AN70-AN75</f>
        <v>161725.15552581291</v>
      </c>
      <c r="AO77" s="172">
        <f>AO70-AO75</f>
        <v>188432.52622861136</v>
      </c>
      <c r="AP77" s="172">
        <f>AP70-AP75</f>
        <v>218468.31047232862</v>
      </c>
      <c r="AQ77" s="172">
        <f>AQ70-AQ75</f>
        <v>251881.82124862151</v>
      </c>
      <c r="AR77" s="172">
        <f>AR70-AR75</f>
        <v>288598.68734256312</v>
      </c>
      <c r="AS77" s="172">
        <f>AS70-AS75</f>
        <v>328394.33391261793</v>
      </c>
      <c r="AT77" s="172">
        <f>AT70-AT75</f>
        <v>370875.80147671176</v>
      </c>
      <c r="AU77" s="172">
        <f>AU70-AU75</f>
        <v>415477.5772160897</v>
      </c>
      <c r="AV77" s="172">
        <f>AV70-AV75</f>
        <v>461476.26684209751</v>
      </c>
      <c r="AW77" s="172">
        <f>AW70-AW75</f>
        <v>508026.41379930766</v>
      </c>
      <c r="AX77" s="172">
        <f>AX70-AX75</f>
        <v>554215.75110215391</v>
      </c>
      <c r="AY77" s="172">
        <f>AY70-AY75</f>
        <v>2146945.3355486966</v>
      </c>
      <c r="AZ77" s="172">
        <f>AZ70-AZ75</f>
        <v>2379164.664311918</v>
      </c>
      <c r="BA77" s="172">
        <f>BA70-BA75</f>
        <v>2602806.1249310905</v>
      </c>
      <c r="BB77" s="172">
        <f>BB70-BB75</f>
        <v>2811988.1928946674</v>
      </c>
      <c r="BC77" s="172">
        <f>BC70-BC75</f>
        <v>3002136.2939908626</v>
      </c>
      <c r="BD77" s="172">
        <f>BD70-BD75</f>
        <v>3170354.9894130547</v>
      </c>
      <c r="BE77" s="172">
        <f>BE70-BE75</f>
        <v>3315492.3497450147</v>
      </c>
      <c r="BF77" s="172">
        <f>BF70-BF75</f>
        <v>3437931.9525717925</v>
      </c>
      <c r="BG77" s="172">
        <f>BG70-BG75</f>
        <v>3539213.4592813342</v>
      </c>
      <c r="BH77" s="172">
        <f>BH70-BH75</f>
        <v>3621599.5364264878</v>
      </c>
      <c r="BI77" s="172">
        <f>BI70-BI75</f>
        <v>3687682.6268993402</v>
      </c>
      <c r="BJ77" s="172">
        <f>BJ70-BJ75</f>
        <v>3740082.8049156326</v>
      </c>
      <c r="BK77" s="172">
        <f>BK70-BK75</f>
        <v>8412693.9427539781</v>
      </c>
      <c r="BL77" s="172">
        <f>BL70-BL75</f>
        <v>8483804.4672792945</v>
      </c>
      <c r="BM77" s="172">
        <f>BM70-BM75</f>
        <v>8538929.5359877944</v>
      </c>
      <c r="BN77" s="172">
        <f>BN70-BN75</f>
        <v>8581468.2930296641</v>
      </c>
      <c r="BO77" s="172">
        <f>BO70-BO75</f>
        <v>8614178.3588404842</v>
      </c>
      <c r="BP77" s="172">
        <f>BP70-BP75</f>
        <v>8639261.8355991356</v>
      </c>
      <c r="BQ77" s="172">
        <f>BQ70-BQ75</f>
        <v>8658456.3517168332</v>
      </c>
      <c r="BR77" s="172">
        <f>BR70-BR75</f>
        <v>8673120.6928767525</v>
      </c>
    </row>
    <row r="78" spans="1:72" ht="12.75">
      <c r="B78" s="174" t="s">
        <v>191</v>
      </c>
      <c r="C78" s="179" t="str">
        <f>IFERROR(C77/C70,"")</f>
        <v/>
      </c>
      <c r="D78" s="179" t="str">
        <f t="shared" ref="D78:BO78" si="2">IFERROR(D77/D70,"")</f>
        <v/>
      </c>
      <c r="E78" s="179" t="str">
        <f t="shared" si="2"/>
        <v/>
      </c>
      <c r="F78" s="179" t="str">
        <f t="shared" si="2"/>
        <v/>
      </c>
      <c r="G78" s="179" t="str">
        <f t="shared" si="2"/>
        <v/>
      </c>
      <c r="H78" s="179" t="str">
        <f t="shared" si="2"/>
        <v/>
      </c>
      <c r="I78" s="179" t="str">
        <f t="shared" si="2"/>
        <v/>
      </c>
      <c r="J78" s="179" t="str">
        <f t="shared" si="2"/>
        <v/>
      </c>
      <c r="K78" s="179" t="str">
        <f t="shared" si="2"/>
        <v/>
      </c>
      <c r="L78" s="179" t="str">
        <f t="shared" si="2"/>
        <v/>
      </c>
      <c r="M78" s="179" t="str">
        <f t="shared" si="2"/>
        <v/>
      </c>
      <c r="N78" s="179" t="str">
        <f t="shared" si="2"/>
        <v/>
      </c>
      <c r="O78" s="179">
        <f t="shared" si="2"/>
        <v>-5.4188424238859483</v>
      </c>
      <c r="P78" s="179">
        <f t="shared" si="2"/>
        <v>-5.4188221243402674</v>
      </c>
      <c r="Q78" s="179">
        <f t="shared" si="2"/>
        <v>-5.4187998405181679</v>
      </c>
      <c r="R78" s="179">
        <f t="shared" si="2"/>
        <v>-5.418775383415749</v>
      </c>
      <c r="S78" s="179">
        <f t="shared" si="2"/>
        <v>-5.4187485470528021</v>
      </c>
      <c r="T78" s="179">
        <f t="shared" si="2"/>
        <v>-5.4187191071614791</v>
      </c>
      <c r="U78" s="179">
        <f t="shared" si="2"/>
        <v>-5.4186868198192748</v>
      </c>
      <c r="V78" s="179">
        <f t="shared" si="2"/>
        <v>-5.4186514200347888</v>
      </c>
      <c r="W78" s="179">
        <f t="shared" si="2"/>
        <v>-5.4186126202979903</v>
      </c>
      <c r="X78" s="179">
        <f t="shared" si="2"/>
        <v>-3.418570109110604</v>
      </c>
      <c r="Y78" s="179">
        <f t="shared" si="2"/>
        <v>-3.4185235495168902</v>
      </c>
      <c r="Z78" s="179">
        <f t="shared" si="2"/>
        <v>-3.4184725776605891</v>
      </c>
      <c r="AA78" s="179">
        <f t="shared" si="2"/>
        <v>-0.90105238815355704</v>
      </c>
      <c r="AB78" s="179">
        <f t="shared" si="2"/>
        <v>-0.90100388906044326</v>
      </c>
      <c r="AC78" s="179">
        <f t="shared" si="2"/>
        <v>-0.90094602057303785</v>
      </c>
      <c r="AD78" s="179">
        <f t="shared" si="2"/>
        <v>-0.90087705024419418</v>
      </c>
      <c r="AE78" s="179">
        <f t="shared" si="2"/>
        <v>-0.90079495856376846</v>
      </c>
      <c r="AF78" s="179">
        <f t="shared" si="2"/>
        <v>-0.90069740573178958</v>
      </c>
      <c r="AG78" s="179">
        <f t="shared" si="2"/>
        <v>-0.21486741536725434</v>
      </c>
      <c r="AH78" s="179">
        <f t="shared" si="2"/>
        <v>-0.21473049316119722</v>
      </c>
      <c r="AI78" s="179">
        <f t="shared" si="2"/>
        <v>-0.21456890006216942</v>
      </c>
      <c r="AJ78" s="179">
        <f t="shared" si="2"/>
        <v>-0.21437880151022029</v>
      </c>
      <c r="AK78" s="179">
        <f t="shared" si="2"/>
        <v>-0.21415601642621901</v>
      </c>
      <c r="AL78" s="179">
        <f t="shared" si="2"/>
        <v>-0.21389609188576272</v>
      </c>
      <c r="AM78" s="179">
        <f t="shared" si="2"/>
        <v>0.39320278439813167</v>
      </c>
      <c r="AN78" s="179">
        <f t="shared" si="2"/>
        <v>0.39337675526460775</v>
      </c>
      <c r="AO78" s="179">
        <f t="shared" si="2"/>
        <v>0.39357597557708729</v>
      </c>
      <c r="AP78" s="179">
        <f t="shared" si="2"/>
        <v>0.39380220982150704</v>
      </c>
      <c r="AQ78" s="179">
        <f t="shared" si="2"/>
        <v>0.39405665598718959</v>
      </c>
      <c r="AR78" s="179">
        <f t="shared" si="2"/>
        <v>0.39433969314656164</v>
      </c>
      <c r="AS78" s="179">
        <f t="shared" si="2"/>
        <v>0.39465062125942846</v>
      </c>
      <c r="AT78" s="179">
        <f t="shared" si="2"/>
        <v>0.39498742911395857</v>
      </c>
      <c r="AU78" s="179">
        <f t="shared" si="2"/>
        <v>0.39534663781779583</v>
      </c>
      <c r="AV78" s="179">
        <f t="shared" si="2"/>
        <v>0.39572327177505573</v>
      </c>
      <c r="AW78" s="179">
        <f t="shared" si="2"/>
        <v>0.3961110009645093</v>
      </c>
      <c r="AX78" s="179">
        <f t="shared" si="2"/>
        <v>0.39650247404796851</v>
      </c>
      <c r="AY78" s="179">
        <f t="shared" si="2"/>
        <v>0.69766389727931855</v>
      </c>
      <c r="AZ78" s="179">
        <f t="shared" si="2"/>
        <v>0.69794120799443848</v>
      </c>
      <c r="BA78" s="179">
        <f t="shared" si="2"/>
        <v>0.69821561258114051</v>
      </c>
      <c r="BB78" s="179">
        <f t="shared" si="2"/>
        <v>0.69847912635357678</v>
      </c>
      <c r="BC78" s="179">
        <f t="shared" si="2"/>
        <v>0.69872469046204466</v>
      </c>
      <c r="BD78" s="179">
        <f t="shared" si="2"/>
        <v>0.69894693906070104</v>
      </c>
      <c r="BE78" s="179">
        <f t="shared" si="2"/>
        <v>0.69914262497027557</v>
      </c>
      <c r="BF78" s="179">
        <f t="shared" si="2"/>
        <v>0.69931064364685303</v>
      </c>
      <c r="BG78" s="179">
        <f t="shared" si="2"/>
        <v>0.6994517218377474</v>
      </c>
      <c r="BH78" s="179">
        <f t="shared" si="2"/>
        <v>0.69956791499747006</v>
      </c>
      <c r="BI78" s="179">
        <f t="shared" si="2"/>
        <v>0.69966206582409884</v>
      </c>
      <c r="BJ78" s="179">
        <f t="shared" si="2"/>
        <v>0.69973733420492756</v>
      </c>
      <c r="BK78" s="179">
        <f t="shared" si="2"/>
        <v>0.83835215053361056</v>
      </c>
      <c r="BL78" s="179">
        <f t="shared" si="2"/>
        <v>0.83837726960602443</v>
      </c>
      <c r="BM78" s="179">
        <f t="shared" si="2"/>
        <v>0.83839682144946903</v>
      </c>
      <c r="BN78" s="179">
        <f t="shared" si="2"/>
        <v>0.83841195693715986</v>
      </c>
      <c r="BO78" s="179">
        <f t="shared" si="2"/>
        <v>0.83842362378939128</v>
      </c>
      <c r="BP78" s="179">
        <f t="shared" ref="BP78:BR78" si="3">IFERROR(BP77/BP70,"")</f>
        <v>0.83843258726114167</v>
      </c>
      <c r="BQ78" s="179">
        <f t="shared" si="3"/>
        <v>0.83843945623722205</v>
      </c>
      <c r="BR78" s="179">
        <f t="shared" si="3"/>
        <v>0.83844470983584629</v>
      </c>
    </row>
    <row r="79" spans="1:72" s="124" customFormat="1" ht="7.5" customHeight="1">
      <c r="A79" s="123"/>
    </row>
    <row r="80" spans="1:72" ht="12.75">
      <c r="B80" s="112" t="s">
        <v>189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</row>
    <row r="81" spans="1:72" ht="12.75">
      <c r="B81" s="162" t="s">
        <v>124</v>
      </c>
      <c r="C81" s="154">
        <v>5000</v>
      </c>
      <c r="D81" s="154">
        <v>5000</v>
      </c>
      <c r="E81" s="154">
        <f>CEILING((E51*$C$40*$C$41), 1000)</f>
        <v>4000</v>
      </c>
      <c r="F81" s="154">
        <f>CEILING((F51*$C$40*$C$41), 1000)</f>
        <v>5000</v>
      </c>
      <c r="G81" s="154">
        <f>CEILING((G51*$C$40*$C$41), 1000)</f>
        <v>6000</v>
      </c>
      <c r="H81" s="154">
        <f>CEILING((H51*$C$40*$C$41), 1000)</f>
        <v>6000</v>
      </c>
      <c r="I81" s="154">
        <v>10000</v>
      </c>
      <c r="J81" s="154">
        <v>10000</v>
      </c>
      <c r="K81" s="154">
        <v>11000</v>
      </c>
      <c r="L81" s="154">
        <v>11000</v>
      </c>
      <c r="M81" s="154">
        <f>CEILING((M51*$D$40*$D$41), 1000)</f>
        <v>9000</v>
      </c>
      <c r="N81" s="154">
        <f>CEILING((N51*$D$40*$D$41), 1000)</f>
        <v>11000</v>
      </c>
      <c r="O81" s="154">
        <f>CEILING((O51*$E$40*$E$41), 1000)</f>
        <v>3000</v>
      </c>
      <c r="P81" s="154">
        <f>CEILING((P51*$E$40*$E$41), 1000)</f>
        <v>4000</v>
      </c>
      <c r="Q81" s="154">
        <f>CEILING((Q51*$E$40*$E$41), 1000)</f>
        <v>4000</v>
      </c>
      <c r="R81" s="154">
        <f>CEILING((R51*$E$40*$E$41), 1000)</f>
        <v>4000</v>
      </c>
      <c r="S81" s="154">
        <f>CEILING((S51*$E$40*$E$41), 1000)</f>
        <v>5000</v>
      </c>
      <c r="T81" s="154">
        <f>CEILING((T51*$E$40*$E$41), 1000)</f>
        <v>5000</v>
      </c>
      <c r="U81" s="154">
        <f>CEILING((U51*$E$40*$E$41), 1000)</f>
        <v>5000</v>
      </c>
      <c r="V81" s="154">
        <f>CEILING((V51*$E$40*$E$41), 1000)</f>
        <v>6000</v>
      </c>
      <c r="W81" s="154">
        <f>CEILING((W51*$E$40*$E$41), 1000)</f>
        <v>6000</v>
      </c>
      <c r="X81" s="154">
        <f>CEILING((X51*$E$40*$E$41), 1000)</f>
        <v>7000</v>
      </c>
      <c r="Y81" s="154">
        <f>CEILING((Y51*$E$40*$E$41), 1000)</f>
        <v>8000</v>
      </c>
      <c r="Z81" s="154">
        <f>CEILING((Z51*$E$40*$E$41), 1000)</f>
        <v>8000</v>
      </c>
      <c r="AA81" s="154">
        <f>CEILING((AA51*$F$40*$F$41), 1000)</f>
        <v>9000</v>
      </c>
      <c r="AB81" s="154">
        <f>CEILING((AB51*$F$40*$F$41), 1000)</f>
        <v>11000</v>
      </c>
      <c r="AC81" s="154">
        <f>CEILING((AC51*$F$40*$F$41), 1000)</f>
        <v>13000</v>
      </c>
      <c r="AD81" s="154">
        <f>CEILING((AD51*$F$40*$F$41), 1000)</f>
        <v>15000</v>
      </c>
      <c r="AE81" s="154">
        <f>CEILING((AE51*$F$40*$F$41), 1000)</f>
        <v>18000</v>
      </c>
      <c r="AF81" s="154">
        <f>CEILING((AF51*$F$40*$F$41), 1000)</f>
        <v>21000</v>
      </c>
      <c r="AG81" s="154">
        <f>CEILING((AG51*$F$40*$F$41), 1000)</f>
        <v>25000</v>
      </c>
      <c r="AH81" s="154">
        <f>CEILING((AH51*$F$40*$F$41), 1000)</f>
        <v>29000</v>
      </c>
      <c r="AI81" s="154">
        <f>CEILING((AI51*$F$40*$F$41), 1000)</f>
        <v>34000</v>
      </c>
      <c r="AJ81" s="154">
        <f>CEILING((AJ51*$F$40*$F$41), 1000)</f>
        <v>40000</v>
      </c>
      <c r="AK81" s="154">
        <f>CEILING((AK51*$F$40*$F$41), 1000)</f>
        <v>46000</v>
      </c>
      <c r="AL81" s="154">
        <f>CEILING((AL51*$F$40*$F$41), 1000)</f>
        <v>54000</v>
      </c>
      <c r="AM81" s="154">
        <f>CEILING((AM51*$F$40*$F$41), 1000)</f>
        <v>62000</v>
      </c>
      <c r="AN81" s="154">
        <f>CEILING((AN51*$F$40*$F$41), 1000)</f>
        <v>71000</v>
      </c>
      <c r="AO81" s="154">
        <f>CEILING((AO51*$F$40*$F$41), 1000)</f>
        <v>81000</v>
      </c>
      <c r="AP81" s="154">
        <f>CEILING((AP51*$F$40*$F$41), 1000)</f>
        <v>91000</v>
      </c>
      <c r="AQ81" s="154">
        <f>CEILING((AQ51*$F$40*$F$41), 1000)</f>
        <v>102000</v>
      </c>
      <c r="AR81" s="154">
        <f>CEILING((AR51*$F$40*$F$41), 1000)</f>
        <v>113000</v>
      </c>
      <c r="AS81" s="154">
        <f>CEILING((AS51*$F$40*$F$41), 1000)</f>
        <v>123000</v>
      </c>
      <c r="AT81" s="154">
        <f>CEILING((AT51*$F$40*$F$41), 1000)</f>
        <v>133000</v>
      </c>
      <c r="AU81" s="154">
        <f>CEILING((AU51*$F$40*$F$41), 1000)</f>
        <v>141000</v>
      </c>
      <c r="AV81" s="154">
        <f>CEILING((AV51*$F$40*$F$41), 1000)</f>
        <v>148000</v>
      </c>
      <c r="AW81" s="154">
        <f>CEILING((AW51*$F$40*$F$41), 1000)</f>
        <v>153000</v>
      </c>
      <c r="AX81" s="154">
        <f>CEILING((AX51*$F$40*$F$41), 1000)</f>
        <v>156000</v>
      </c>
      <c r="AY81" s="154">
        <f>CEILING((AY51*$G$40*$G$41), 1000)</f>
        <v>313000</v>
      </c>
      <c r="AZ81" s="154">
        <f>CEILING((AZ51*$G$40*$G$41), 1000)</f>
        <v>309000</v>
      </c>
      <c r="BA81" s="154">
        <f>AZ81*1.05</f>
        <v>324450</v>
      </c>
      <c r="BB81" s="154">
        <f>BA81*1.05</f>
        <v>340672.5</v>
      </c>
      <c r="BC81" s="154">
        <f>BB81*1.05</f>
        <v>357706.125</v>
      </c>
      <c r="BD81" s="154">
        <f>BC81*1.05</f>
        <v>375591.43125000002</v>
      </c>
      <c r="BE81" s="154">
        <f>BD81*1.05</f>
        <v>394371.00281250005</v>
      </c>
      <c r="BF81" s="154">
        <f>BE81*1.05</f>
        <v>414089.55295312509</v>
      </c>
      <c r="BG81" s="154">
        <f>BF81*1.05</f>
        <v>434794.03060078138</v>
      </c>
      <c r="BH81" s="154">
        <f>BG81*1.05</f>
        <v>456533.73213082046</v>
      </c>
      <c r="BI81" s="154">
        <f>BH81*1.05</f>
        <v>479360.4187373615</v>
      </c>
      <c r="BJ81" s="154">
        <f>BI81*1.05</f>
        <v>503328.43967422959</v>
      </c>
      <c r="BK81" s="154">
        <f>BJ81*1.05</f>
        <v>528494.86165794113</v>
      </c>
      <c r="BL81" s="154">
        <f>BK81*1.05</f>
        <v>554919.60474083817</v>
      </c>
      <c r="BM81" s="154">
        <f>BL81*1.05</f>
        <v>582665.58497788012</v>
      </c>
      <c r="BN81" s="154">
        <f>BM81*1.05</f>
        <v>611798.8642267742</v>
      </c>
      <c r="BO81" s="154">
        <f>BN81*1.05</f>
        <v>642388.80743811291</v>
      </c>
      <c r="BP81" s="154">
        <f>BO81*1.05</f>
        <v>674508.2478100186</v>
      </c>
      <c r="BQ81" s="154">
        <f>BP81*1.05</f>
        <v>708233.6602005196</v>
      </c>
      <c r="BR81" s="154">
        <f>BQ81*1.05</f>
        <v>743645.3432105456</v>
      </c>
    </row>
    <row r="82" spans="1:72" ht="12.75">
      <c r="B82" s="162" t="s">
        <v>123</v>
      </c>
      <c r="C82" s="154">
        <v>1000</v>
      </c>
      <c r="D82" s="154">
        <v>1000</v>
      </c>
      <c r="E82" s="154">
        <v>1000</v>
      </c>
      <c r="F82" s="154">
        <v>1000</v>
      </c>
      <c r="G82" s="154">
        <v>1000</v>
      </c>
      <c r="H82" s="154">
        <v>1000</v>
      </c>
      <c r="I82" s="154">
        <v>1000</v>
      </c>
      <c r="J82" s="154">
        <v>1000</v>
      </c>
      <c r="K82" s="154">
        <v>1000</v>
      </c>
      <c r="L82" s="154">
        <v>1000</v>
      </c>
      <c r="M82" s="154">
        <v>1000</v>
      </c>
      <c r="N82" s="154">
        <v>1000</v>
      </c>
      <c r="O82" s="154">
        <f>CEILING((O70*0.08), 1000)</f>
        <v>1000</v>
      </c>
      <c r="P82" s="154">
        <f>CEILING((P70*0.08), 1000)</f>
        <v>1000</v>
      </c>
      <c r="Q82" s="154">
        <f>CEILING((Q70*0.08), 1000)</f>
        <v>1000</v>
      </c>
      <c r="R82" s="154">
        <f>CEILING((R70*0.08), 1000)</f>
        <v>1000</v>
      </c>
      <c r="S82" s="154">
        <f>CEILING((S70*0.08), 1000)</f>
        <v>1000</v>
      </c>
      <c r="T82" s="154">
        <f>CEILING((T70*0.08), 1000)</f>
        <v>1000</v>
      </c>
      <c r="U82" s="154">
        <f>CEILING((U70*0.08), 1000)</f>
        <v>1000</v>
      </c>
      <c r="V82" s="154">
        <f>CEILING((V70*0.08), 1000)</f>
        <v>1000</v>
      </c>
      <c r="W82" s="154">
        <f>CEILING((W70*0.08), 1000)</f>
        <v>1000</v>
      </c>
      <c r="X82" s="154">
        <f>CEILING((X70*0.08), 1000)</f>
        <v>1000</v>
      </c>
      <c r="Y82" s="154">
        <f>CEILING((Y70*0.08), 1000)</f>
        <v>1000</v>
      </c>
      <c r="Z82" s="154">
        <f>CEILING((Z70*0.08), 1000)</f>
        <v>1000</v>
      </c>
      <c r="AA82" s="154">
        <f>CEILING((AA70*0.08), 1000)</f>
        <v>2000</v>
      </c>
      <c r="AB82" s="154">
        <f>CEILING((AB70*0.08), 1000)</f>
        <v>3000</v>
      </c>
      <c r="AC82" s="154">
        <f>CEILING((AC70*0.08), 1000)</f>
        <v>3000</v>
      </c>
      <c r="AD82" s="154">
        <f>CEILING((AD70*0.08), 1000)</f>
        <v>4000</v>
      </c>
      <c r="AE82" s="154">
        <f>CEILING((AE70*0.08), 1000)</f>
        <v>4000</v>
      </c>
      <c r="AF82" s="154">
        <f>CEILING((AF70*0.08), 1000)</f>
        <v>5000</v>
      </c>
      <c r="AG82" s="154">
        <f>CEILING((AG70*0.08), 1000)</f>
        <v>6000</v>
      </c>
      <c r="AH82" s="154">
        <f>CEILING((AH70*0.08), 1000)</f>
        <v>7000</v>
      </c>
      <c r="AI82" s="154">
        <f>CEILING((AI70*0.08), 1000)</f>
        <v>8000</v>
      </c>
      <c r="AJ82" s="154">
        <f>CEILING((AJ70*0.08), 1000)</f>
        <v>9000</v>
      </c>
      <c r="AK82" s="154">
        <f>CEILING((AK70*0.08), 1000)</f>
        <v>11000</v>
      </c>
      <c r="AL82" s="154">
        <f>CEILING((AL70*0.08), 1000)</f>
        <v>12000</v>
      </c>
      <c r="AM82" s="154">
        <f>CEILING((AM70*0.08), 1000)</f>
        <v>29000</v>
      </c>
      <c r="AN82" s="154">
        <f>CEILING((AN70*0.08), 1000)</f>
        <v>33000</v>
      </c>
      <c r="AO82" s="154">
        <f>CEILING((AO70*0.08), 1000)</f>
        <v>39000</v>
      </c>
      <c r="AP82" s="154">
        <f>CEILING((AP70*0.08), 1000)</f>
        <v>45000</v>
      </c>
      <c r="AQ82" s="154">
        <f>CEILING((AQ70*0.08), 1000)</f>
        <v>52000</v>
      </c>
      <c r="AR82" s="154">
        <f>CEILING((AR70*0.08), 1000)</f>
        <v>59000</v>
      </c>
      <c r="AS82" s="154">
        <f>CEILING((AS70*0.08), 1000)</f>
        <v>67000</v>
      </c>
      <c r="AT82" s="154">
        <f>CEILING((AT70*0.08), 1000)</f>
        <v>76000</v>
      </c>
      <c r="AU82" s="154">
        <f>CEILING((AU70*0.08), 1000)</f>
        <v>85000</v>
      </c>
      <c r="AV82" s="154">
        <f>CEILING((AV70*0.08), 1000)</f>
        <v>94000</v>
      </c>
      <c r="AW82" s="154">
        <f>CEILING((AW70*0.08), 1000)</f>
        <v>103000</v>
      </c>
      <c r="AX82" s="154">
        <f>CEILING((AX70*0.08), 1000)</f>
        <v>112000</v>
      </c>
      <c r="AY82" s="154">
        <f>CEILING((AY70*0.08), 1000)</f>
        <v>247000</v>
      </c>
      <c r="AZ82" s="154">
        <f>CEILING((AZ70*0.08), 1000)</f>
        <v>273000</v>
      </c>
      <c r="BA82" s="154">
        <f>CEILING((BA70*0.08), 1000)</f>
        <v>299000</v>
      </c>
      <c r="BB82" s="154">
        <f>CEILING((BB70*0.08), 1000)</f>
        <v>323000</v>
      </c>
      <c r="BC82" s="154">
        <f>CEILING((BC70*0.08), 1000)</f>
        <v>344000</v>
      </c>
      <c r="BD82" s="154">
        <f>CEILING((BD70*0.08), 1000)</f>
        <v>363000</v>
      </c>
      <c r="BE82" s="154">
        <f>CEILING((BE70*0.08), 1000)</f>
        <v>380000</v>
      </c>
      <c r="BF82" s="154">
        <f>CEILING((BF70*0.08), 1000)</f>
        <v>394000</v>
      </c>
      <c r="BG82" s="154">
        <f>CEILING((BG70*0.08), 1000)</f>
        <v>405000</v>
      </c>
      <c r="BH82" s="154">
        <f>CEILING((BH70*0.08), 1000)</f>
        <v>415000</v>
      </c>
      <c r="BI82" s="154">
        <f>CEILING((BI70*0.08), 1000)</f>
        <v>422000</v>
      </c>
      <c r="BJ82" s="154">
        <f>CEILING((BJ70*0.08), 1000)</f>
        <v>428000</v>
      </c>
      <c r="BK82" s="154">
        <f>CEILING((BK70*0.08), 1000)</f>
        <v>803000</v>
      </c>
      <c r="BL82" s="154">
        <f>CEILING((BL70*0.08), 1000)</f>
        <v>810000</v>
      </c>
      <c r="BM82" s="154">
        <f>CEILING((BM70*0.08), 1000)</f>
        <v>815000</v>
      </c>
      <c r="BN82" s="154">
        <f>CEILING((BN70*0.08), 1000)</f>
        <v>819000</v>
      </c>
      <c r="BO82" s="154">
        <f>CEILING((BO70*0.08), 1000)</f>
        <v>822000</v>
      </c>
      <c r="BP82" s="154">
        <f>CEILING((BP70*0.08), 1000)</f>
        <v>825000</v>
      </c>
      <c r="BQ82" s="154">
        <f>CEILING((BQ70*0.08), 1000)</f>
        <v>827000</v>
      </c>
      <c r="BR82" s="154">
        <f>CEILING((BR70*0.08), 1000)</f>
        <v>828000</v>
      </c>
    </row>
    <row r="83" spans="1:72" ht="12.75">
      <c r="B83" s="162" t="s">
        <v>122</v>
      </c>
      <c r="C83" s="154">
        <v>5500</v>
      </c>
      <c r="D83" s="154">
        <v>5500</v>
      </c>
      <c r="E83" s="154">
        <v>5500</v>
      </c>
      <c r="F83" s="154">
        <v>5500</v>
      </c>
      <c r="G83" s="154">
        <v>5500</v>
      </c>
      <c r="H83" s="154">
        <v>5500</v>
      </c>
      <c r="I83" s="154">
        <v>5500</v>
      </c>
      <c r="J83" s="154">
        <v>5500</v>
      </c>
      <c r="K83" s="154">
        <v>5500</v>
      </c>
      <c r="L83" s="154">
        <v>5500</v>
      </c>
      <c r="M83" s="154">
        <v>5500</v>
      </c>
      <c r="N83" s="154">
        <v>5500</v>
      </c>
      <c r="O83" s="154">
        <v>8000</v>
      </c>
      <c r="P83" s="154">
        <v>8000</v>
      </c>
      <c r="Q83" s="154">
        <v>8000</v>
      </c>
      <c r="R83" s="154">
        <v>8000</v>
      </c>
      <c r="S83" s="154">
        <v>8000</v>
      </c>
      <c r="T83" s="154">
        <v>8000</v>
      </c>
      <c r="U83" s="154">
        <v>8000</v>
      </c>
      <c r="V83" s="154">
        <v>8000</v>
      </c>
      <c r="W83" s="154">
        <v>8000</v>
      </c>
      <c r="X83" s="154">
        <v>8000</v>
      </c>
      <c r="Y83" s="154">
        <v>8000</v>
      </c>
      <c r="Z83" s="154">
        <v>8000</v>
      </c>
      <c r="AA83" s="154">
        <v>13000</v>
      </c>
      <c r="AB83" s="154">
        <v>13000</v>
      </c>
      <c r="AC83" s="154">
        <v>13000</v>
      </c>
      <c r="AD83" s="154">
        <v>13000</v>
      </c>
      <c r="AE83" s="154">
        <v>13000</v>
      </c>
      <c r="AF83" s="154">
        <v>13000</v>
      </c>
      <c r="AG83" s="154">
        <v>13000</v>
      </c>
      <c r="AH83" s="154">
        <v>13000</v>
      </c>
      <c r="AI83" s="154">
        <v>13000</v>
      </c>
      <c r="AJ83" s="154">
        <v>13000</v>
      </c>
      <c r="AK83" s="154">
        <v>13000</v>
      </c>
      <c r="AL83" s="154">
        <v>13000</v>
      </c>
      <c r="AM83" s="154">
        <v>17000</v>
      </c>
      <c r="AN83" s="154">
        <v>17000</v>
      </c>
      <c r="AO83" s="154">
        <v>17000</v>
      </c>
      <c r="AP83" s="154">
        <v>17000</v>
      </c>
      <c r="AQ83" s="154">
        <v>17000</v>
      </c>
      <c r="AR83" s="154">
        <v>17000</v>
      </c>
      <c r="AS83" s="154">
        <v>17000</v>
      </c>
      <c r="AT83" s="154">
        <v>17000</v>
      </c>
      <c r="AU83" s="154">
        <v>17000</v>
      </c>
      <c r="AV83" s="154">
        <v>17000</v>
      </c>
      <c r="AW83" s="154">
        <v>17000</v>
      </c>
      <c r="AX83" s="154">
        <v>17000</v>
      </c>
      <c r="AY83" s="154">
        <v>22000</v>
      </c>
      <c r="AZ83" s="154">
        <v>22000</v>
      </c>
      <c r="BA83" s="154">
        <v>22000</v>
      </c>
      <c r="BB83" s="154">
        <v>22000</v>
      </c>
      <c r="BC83" s="154">
        <v>22000</v>
      </c>
      <c r="BD83" s="154">
        <v>22000</v>
      </c>
      <c r="BE83" s="154">
        <v>22000</v>
      </c>
      <c r="BF83" s="154">
        <v>22000</v>
      </c>
      <c r="BG83" s="154">
        <v>22000</v>
      </c>
      <c r="BH83" s="154">
        <v>22000</v>
      </c>
      <c r="BI83" s="154">
        <v>22000</v>
      </c>
      <c r="BJ83" s="154">
        <v>22000</v>
      </c>
      <c r="BK83" s="154">
        <v>29000</v>
      </c>
      <c r="BL83" s="154">
        <v>29000</v>
      </c>
      <c r="BM83" s="154">
        <v>29000</v>
      </c>
      <c r="BN83" s="154">
        <v>29000</v>
      </c>
      <c r="BO83" s="154">
        <v>29000</v>
      </c>
      <c r="BP83" s="154">
        <v>29000</v>
      </c>
      <c r="BQ83" s="154">
        <v>29000</v>
      </c>
      <c r="BR83" s="154">
        <v>29000</v>
      </c>
    </row>
    <row r="84" spans="1:72" ht="12.75">
      <c r="B84" s="162" t="s">
        <v>121</v>
      </c>
      <c r="C84" s="158">
        <v>23000</v>
      </c>
      <c r="D84" s="158">
        <v>27395.833333333332</v>
      </c>
      <c r="E84" s="158">
        <v>31791.666666666664</v>
      </c>
      <c r="F84" s="158">
        <v>36187.5</v>
      </c>
      <c r="G84" s="158">
        <v>40583.333333333336</v>
      </c>
      <c r="H84" s="158">
        <v>44979.166666666672</v>
      </c>
      <c r="I84" s="158">
        <v>49375.000000000007</v>
      </c>
      <c r="J84" s="158">
        <v>53770.833333333343</v>
      </c>
      <c r="K84" s="158">
        <v>58166.666666666679</v>
      </c>
      <c r="L84" s="158">
        <v>62562.500000000015</v>
      </c>
      <c r="M84" s="158">
        <v>66958.333333333343</v>
      </c>
      <c r="N84" s="158">
        <v>71354.166666666672</v>
      </c>
      <c r="O84" s="158">
        <v>75750</v>
      </c>
      <c r="P84" s="158">
        <v>81713.541666666672</v>
      </c>
      <c r="Q84" s="158">
        <v>87677.083333333343</v>
      </c>
      <c r="R84" s="158">
        <v>93640.625000000015</v>
      </c>
      <c r="S84" s="158">
        <v>99604.166666666686</v>
      </c>
      <c r="T84" s="158">
        <v>105567.70833333336</v>
      </c>
      <c r="U84" s="158">
        <v>111531.25000000003</v>
      </c>
      <c r="V84" s="158">
        <v>117494.7916666667</v>
      </c>
      <c r="W84" s="158">
        <v>123458.33333333337</v>
      </c>
      <c r="X84" s="158">
        <v>129421.87500000004</v>
      </c>
      <c r="Y84" s="158">
        <v>135385.41666666672</v>
      </c>
      <c r="Z84" s="158">
        <v>141348.95833333337</v>
      </c>
      <c r="AA84" s="158">
        <v>147312.5</v>
      </c>
      <c r="AB84" s="158">
        <v>154696.61458333334</v>
      </c>
      <c r="AC84" s="158">
        <v>162080.72916666669</v>
      </c>
      <c r="AD84" s="158">
        <v>169464.84375000003</v>
      </c>
      <c r="AE84" s="158">
        <v>176848.95833333337</v>
      </c>
      <c r="AF84" s="158">
        <v>184233.07291666672</v>
      </c>
      <c r="AG84" s="158">
        <v>191617.18750000006</v>
      </c>
      <c r="AH84" s="158">
        <v>199001.3020833334</v>
      </c>
      <c r="AI84" s="158">
        <v>206385.41666666674</v>
      </c>
      <c r="AJ84" s="158">
        <v>213769.53125000009</v>
      </c>
      <c r="AK84" s="158">
        <v>221153.64583333343</v>
      </c>
      <c r="AL84" s="158">
        <v>228537.76041666677</v>
      </c>
      <c r="AM84" s="158">
        <v>235921.875</v>
      </c>
      <c r="AN84" s="158">
        <v>248165.0390625</v>
      </c>
      <c r="AO84" s="158">
        <v>260408.203125</v>
      </c>
      <c r="AP84" s="158">
        <v>272651.3671875</v>
      </c>
      <c r="AQ84" s="158">
        <v>284894.53125</v>
      </c>
      <c r="AR84" s="158">
        <v>297137.6953125</v>
      </c>
      <c r="AS84" s="158">
        <v>309380.859375</v>
      </c>
      <c r="AT84" s="158">
        <v>321624.0234375</v>
      </c>
      <c r="AU84" s="158">
        <v>333867.1875</v>
      </c>
      <c r="AV84" s="158">
        <v>346110.3515625</v>
      </c>
      <c r="AW84" s="158">
        <v>358353.515625</v>
      </c>
      <c r="AX84" s="158">
        <v>370596.6796875</v>
      </c>
      <c r="AY84" s="158">
        <v>382839.84375</v>
      </c>
      <c r="AZ84" s="158">
        <v>403413.330078125</v>
      </c>
      <c r="BA84" s="158">
        <v>423986.81640625</v>
      </c>
      <c r="BB84" s="158">
        <v>444560.302734375</v>
      </c>
      <c r="BC84" s="158">
        <v>465133.7890625</v>
      </c>
      <c r="BD84" s="158">
        <v>485707.275390625</v>
      </c>
      <c r="BE84" s="158">
        <v>506280.76171875</v>
      </c>
      <c r="BF84" s="158">
        <v>526854.248046875</v>
      </c>
      <c r="BG84" s="158">
        <v>547427.734375</v>
      </c>
      <c r="BH84" s="158">
        <v>568001.220703125</v>
      </c>
      <c r="BI84" s="158">
        <v>588574.70703125</v>
      </c>
      <c r="BJ84" s="158">
        <v>609148.193359375</v>
      </c>
      <c r="BK84" s="158">
        <v>629721.6796875</v>
      </c>
      <c r="BL84" s="158">
        <v>661207.763671875</v>
      </c>
      <c r="BM84" s="158">
        <v>694268.15185546875</v>
      </c>
      <c r="BN84" s="158">
        <v>728981.55944824219</v>
      </c>
      <c r="BO84" s="158">
        <v>765430.6374206543</v>
      </c>
      <c r="BP84" s="158">
        <v>803702.16929168708</v>
      </c>
      <c r="BQ84" s="158">
        <v>843887.27775627142</v>
      </c>
      <c r="BR84" s="158">
        <v>886081.64164408506</v>
      </c>
    </row>
    <row r="85" spans="1:72" ht="12.75">
      <c r="B85" s="162" t="s">
        <v>120</v>
      </c>
      <c r="C85" s="154">
        <v>0</v>
      </c>
      <c r="D85" s="154">
        <v>0</v>
      </c>
      <c r="E85" s="154">
        <v>0</v>
      </c>
      <c r="F85" s="154">
        <v>0</v>
      </c>
      <c r="G85" s="154">
        <v>0</v>
      </c>
      <c r="H85" s="154">
        <v>0</v>
      </c>
      <c r="I85" s="154">
        <v>0</v>
      </c>
      <c r="J85" s="154">
        <v>0</v>
      </c>
      <c r="K85" s="154">
        <f>0.3*K84</f>
        <v>17450.000000000004</v>
      </c>
      <c r="L85" s="154">
        <f>0.3*L84</f>
        <v>18768.750000000004</v>
      </c>
      <c r="M85" s="154">
        <f>0.3*M84</f>
        <v>20087.500000000004</v>
      </c>
      <c r="N85" s="154">
        <f>0.3*N84</f>
        <v>21406.25</v>
      </c>
      <c r="O85" s="154">
        <f>0.3*O84</f>
        <v>22725</v>
      </c>
      <c r="P85" s="154">
        <f>0.3*P84</f>
        <v>24514.0625</v>
      </c>
      <c r="Q85" s="154">
        <f>0.3*Q84</f>
        <v>26303.125000000004</v>
      </c>
      <c r="R85" s="154">
        <f>0.3*R84</f>
        <v>28092.187500000004</v>
      </c>
      <c r="S85" s="154">
        <f>0.3*S84</f>
        <v>29881.250000000004</v>
      </c>
      <c r="T85" s="154">
        <f>0.3*T84</f>
        <v>31670.312500000007</v>
      </c>
      <c r="U85" s="154">
        <f>0.3*U84</f>
        <v>33459.375000000007</v>
      </c>
      <c r="V85" s="154">
        <f>0.3*V84</f>
        <v>35248.437500000007</v>
      </c>
      <c r="W85" s="154">
        <f>0.3*W84</f>
        <v>37037.500000000007</v>
      </c>
      <c r="X85" s="154">
        <f>0.3*X84</f>
        <v>38826.562500000015</v>
      </c>
      <c r="Y85" s="154">
        <f>0.3*Y84</f>
        <v>40615.625000000015</v>
      </c>
      <c r="Z85" s="154">
        <f>0.3*Z84</f>
        <v>42404.687500000007</v>
      </c>
      <c r="AA85" s="154">
        <f>0.3*AA84</f>
        <v>44193.75</v>
      </c>
      <c r="AB85" s="154">
        <f>0.3*AB84</f>
        <v>46408.984375</v>
      </c>
      <c r="AC85" s="154">
        <f>0.3*AC84</f>
        <v>48624.218750000007</v>
      </c>
      <c r="AD85" s="154">
        <f>0.3*AD84</f>
        <v>50839.453125000007</v>
      </c>
      <c r="AE85" s="154">
        <f>0.3*AE84</f>
        <v>53054.687500000007</v>
      </c>
      <c r="AF85" s="154">
        <f>0.3*AF84</f>
        <v>55269.921875000015</v>
      </c>
      <c r="AG85" s="154">
        <f>0.3*AG84</f>
        <v>57485.156250000015</v>
      </c>
      <c r="AH85" s="154">
        <f>0.3*AH84</f>
        <v>59700.390625000015</v>
      </c>
      <c r="AI85" s="154">
        <f>0.3*AI84</f>
        <v>61915.625000000022</v>
      </c>
      <c r="AJ85" s="154">
        <f>0.3*AJ84</f>
        <v>64130.859375000022</v>
      </c>
      <c r="AK85" s="154">
        <f>0.3*AK84</f>
        <v>66346.093750000029</v>
      </c>
      <c r="AL85" s="154">
        <f>0.3*AL84</f>
        <v>68561.328125000029</v>
      </c>
      <c r="AM85" s="154">
        <f>0.3*AM84</f>
        <v>70776.5625</v>
      </c>
      <c r="AN85" s="154">
        <f>0.3*AN84</f>
        <v>74449.51171875</v>
      </c>
      <c r="AO85" s="154">
        <f>0.3*AO84</f>
        <v>78122.4609375</v>
      </c>
      <c r="AP85" s="154">
        <f>0.3*AP84</f>
        <v>81795.41015625</v>
      </c>
      <c r="AQ85" s="154">
        <f>0.3*AQ84</f>
        <v>85468.359375</v>
      </c>
      <c r="AR85" s="154">
        <f>0.3*AR84</f>
        <v>89141.30859375</v>
      </c>
      <c r="AS85" s="154">
        <f>0.3*AS84</f>
        <v>92814.2578125</v>
      </c>
      <c r="AT85" s="154">
        <f>0.3*AT84</f>
        <v>96487.20703125</v>
      </c>
      <c r="AU85" s="154">
        <f>0.3*AU84</f>
        <v>100160.15625</v>
      </c>
      <c r="AV85" s="154">
        <f>0.3*AV84</f>
        <v>103833.10546875</v>
      </c>
      <c r="AW85" s="154">
        <f>0.3*AW84</f>
        <v>107506.0546875</v>
      </c>
      <c r="AX85" s="154">
        <f>0.3*AX84</f>
        <v>111179.00390625</v>
      </c>
      <c r="AY85" s="154">
        <f>0.3*AY84</f>
        <v>114851.953125</v>
      </c>
      <c r="AZ85" s="154">
        <f>0.3*AZ84</f>
        <v>121023.9990234375</v>
      </c>
      <c r="BA85" s="154">
        <f>0.3*BA84</f>
        <v>127196.044921875</v>
      </c>
      <c r="BB85" s="154">
        <f>0.3*BB84</f>
        <v>133368.0908203125</v>
      </c>
      <c r="BC85" s="154">
        <f>0.3*BC84</f>
        <v>139540.13671875</v>
      </c>
      <c r="BD85" s="154">
        <f>0.3*BD84</f>
        <v>145712.1826171875</v>
      </c>
      <c r="BE85" s="154">
        <f>0.3*BE84</f>
        <v>151884.228515625</v>
      </c>
      <c r="BF85" s="154">
        <f>0.3*BF84</f>
        <v>158056.2744140625</v>
      </c>
      <c r="BG85" s="154">
        <f>0.3*BG84</f>
        <v>164228.3203125</v>
      </c>
      <c r="BH85" s="154">
        <f>0.3*BH84</f>
        <v>170400.3662109375</v>
      </c>
      <c r="BI85" s="154">
        <f>0.3*BI84</f>
        <v>176572.412109375</v>
      </c>
      <c r="BJ85" s="154">
        <f>0.3*BJ84</f>
        <v>182744.4580078125</v>
      </c>
      <c r="BK85" s="154">
        <f>0.3*BK84</f>
        <v>188916.50390625</v>
      </c>
      <c r="BL85" s="154">
        <f>0.3*BL84</f>
        <v>198362.3291015625</v>
      </c>
      <c r="BM85" s="154">
        <f>0.3*BM84</f>
        <v>208280.44555664063</v>
      </c>
      <c r="BN85" s="154">
        <f>0.3*BN84</f>
        <v>218694.46783447266</v>
      </c>
      <c r="BO85" s="154">
        <f>0.3*BO84</f>
        <v>229629.19122619627</v>
      </c>
      <c r="BP85" s="154">
        <f>0.3*BP84</f>
        <v>241110.65078750611</v>
      </c>
      <c r="BQ85" s="154">
        <f>0.3*BQ84</f>
        <v>253166.18332688141</v>
      </c>
      <c r="BR85" s="154">
        <f>0.3*BR84</f>
        <v>265824.49249322549</v>
      </c>
    </row>
    <row r="86" spans="1:72" ht="15.75" customHeight="1">
      <c r="B86" s="162" t="s">
        <v>119</v>
      </c>
      <c r="C86" s="154">
        <v>2000</v>
      </c>
      <c r="D86" s="154">
        <f>C86*1.1</f>
        <v>2200</v>
      </c>
      <c r="E86" s="154">
        <f>D86*1.1</f>
        <v>2420</v>
      </c>
      <c r="F86" s="154">
        <f>E86*1.1</f>
        <v>2662</v>
      </c>
      <c r="G86" s="154">
        <f>F86*1.1</f>
        <v>2928.2000000000003</v>
      </c>
      <c r="H86" s="154">
        <f>G86*1.1</f>
        <v>3221.0200000000004</v>
      </c>
      <c r="I86" s="154">
        <f>H86*1.1</f>
        <v>3543.1220000000008</v>
      </c>
      <c r="J86" s="154">
        <f>I86*1.1</f>
        <v>3897.4342000000011</v>
      </c>
      <c r="K86" s="154">
        <v>10000</v>
      </c>
      <c r="L86" s="154">
        <v>10000</v>
      </c>
      <c r="M86" s="154">
        <v>10000</v>
      </c>
      <c r="N86" s="154">
        <v>10000</v>
      </c>
      <c r="O86" s="154">
        <v>10000</v>
      </c>
      <c r="P86" s="154">
        <v>10000</v>
      </c>
      <c r="Q86" s="154">
        <v>10000</v>
      </c>
      <c r="R86" s="154">
        <v>10000</v>
      </c>
      <c r="S86" s="154">
        <v>10000</v>
      </c>
      <c r="T86" s="154">
        <v>10000</v>
      </c>
      <c r="U86" s="154">
        <v>10000</v>
      </c>
      <c r="V86" s="154">
        <v>10000</v>
      </c>
      <c r="W86" s="154">
        <v>10000</v>
      </c>
      <c r="X86" s="154">
        <v>10000</v>
      </c>
      <c r="Y86" s="154">
        <v>15000</v>
      </c>
      <c r="Z86" s="154">
        <v>15000</v>
      </c>
      <c r="AA86" s="154">
        <v>15000</v>
      </c>
      <c r="AB86" s="154">
        <v>15000</v>
      </c>
      <c r="AC86" s="154">
        <v>15000</v>
      </c>
      <c r="AD86" s="154">
        <v>15000</v>
      </c>
      <c r="AE86" s="154">
        <v>15000</v>
      </c>
      <c r="AF86" s="154">
        <v>15000</v>
      </c>
      <c r="AG86" s="154">
        <v>15000</v>
      </c>
      <c r="AH86" s="154">
        <v>15000</v>
      </c>
      <c r="AI86" s="154">
        <v>15000</v>
      </c>
      <c r="AJ86" s="154">
        <v>15000</v>
      </c>
      <c r="AK86" s="154">
        <v>20000</v>
      </c>
      <c r="AL86" s="154">
        <v>20000</v>
      </c>
      <c r="AM86" s="154">
        <v>20000</v>
      </c>
      <c r="AN86" s="154">
        <v>20000</v>
      </c>
      <c r="AO86" s="154">
        <v>20000</v>
      </c>
      <c r="AP86" s="154">
        <v>20000</v>
      </c>
      <c r="AQ86" s="154">
        <v>20000</v>
      </c>
      <c r="AR86" s="154">
        <v>20000</v>
      </c>
      <c r="AS86" s="154">
        <v>20000</v>
      </c>
      <c r="AT86" s="154">
        <v>20000</v>
      </c>
      <c r="AU86" s="154">
        <v>20000</v>
      </c>
      <c r="AV86" s="154">
        <v>20000</v>
      </c>
      <c r="AW86" s="154">
        <v>20000</v>
      </c>
      <c r="AX86" s="154">
        <v>20000</v>
      </c>
      <c r="AY86" s="154">
        <v>20000</v>
      </c>
      <c r="AZ86" s="154">
        <v>20000</v>
      </c>
      <c r="BA86" s="154">
        <v>20000</v>
      </c>
      <c r="BB86" s="154">
        <v>20000</v>
      </c>
      <c r="BC86" s="154">
        <v>20000</v>
      </c>
      <c r="BD86" s="154">
        <v>20000</v>
      </c>
      <c r="BE86" s="154">
        <v>20000</v>
      </c>
      <c r="BF86" s="154">
        <v>20000</v>
      </c>
      <c r="BG86" s="154">
        <v>20000</v>
      </c>
      <c r="BH86" s="154">
        <v>20000</v>
      </c>
      <c r="BI86" s="154">
        <v>20001</v>
      </c>
      <c r="BJ86" s="154">
        <v>20002</v>
      </c>
      <c r="BK86" s="154">
        <v>20003</v>
      </c>
      <c r="BL86" s="154">
        <v>20004</v>
      </c>
      <c r="BM86" s="154">
        <v>20005</v>
      </c>
      <c r="BN86" s="154">
        <v>20006</v>
      </c>
      <c r="BO86" s="154">
        <v>20007</v>
      </c>
      <c r="BP86" s="154">
        <v>20008</v>
      </c>
      <c r="BQ86" s="154">
        <v>20009</v>
      </c>
      <c r="BR86" s="154">
        <v>20010</v>
      </c>
    </row>
    <row r="87" spans="1:72" ht="15.75" customHeight="1">
      <c r="B87" s="176" t="s">
        <v>118</v>
      </c>
      <c r="C87" s="169">
        <f>CEILING((0.1*SUM(C81:C86)), 1000)</f>
        <v>4000</v>
      </c>
      <c r="D87" s="169">
        <f>CEILING((0.1*SUM(D81:D86)), 1000)</f>
        <v>5000</v>
      </c>
      <c r="E87" s="169">
        <f>CEILING((0.1*SUM(E81:E86)), 1000)</f>
        <v>5000</v>
      </c>
      <c r="F87" s="169">
        <f>CEILING((0.1*SUM(F81:F86)), 1000)</f>
        <v>6000</v>
      </c>
      <c r="G87" s="169">
        <f>CEILING((0.1*SUM(G81:G86)), 1000)</f>
        <v>6000</v>
      </c>
      <c r="H87" s="169">
        <f>CEILING((0.1*SUM(H81:H86)), 1000)</f>
        <v>7000</v>
      </c>
      <c r="I87" s="169">
        <f>CEILING((0.1*SUM(I81:I86)), 1000)</f>
        <v>7000</v>
      </c>
      <c r="J87" s="169">
        <f>CEILING((0.1*SUM(J81:J86)), 1000)</f>
        <v>8000</v>
      </c>
      <c r="K87" s="169">
        <f>CEILING((0.1*SUM(K81:K86)), 1000)</f>
        <v>11000</v>
      </c>
      <c r="L87" s="169">
        <f>CEILING((0.1*SUM(L81:L86)), 1000)</f>
        <v>11000</v>
      </c>
      <c r="M87" s="169">
        <f>CEILING((0.1*SUM(M81:M86)), 1000)</f>
        <v>12000</v>
      </c>
      <c r="N87" s="169">
        <f>CEILING((0.1*SUM(N81:N86)), 1000)</f>
        <v>13000</v>
      </c>
      <c r="O87" s="169">
        <f>CEILING((0.1*SUM(O81:O86)), 1000)</f>
        <v>13000</v>
      </c>
      <c r="P87" s="169">
        <f>CEILING((0.1*SUM(P81:P86)), 1000)</f>
        <v>13000</v>
      </c>
      <c r="Q87" s="169">
        <f>CEILING((0.1*SUM(Q81:Q86)), 1000)</f>
        <v>14000</v>
      </c>
      <c r="R87" s="169">
        <f>CEILING((0.1*SUM(R81:R86)), 1000)</f>
        <v>15000</v>
      </c>
      <c r="S87" s="169">
        <f>CEILING((0.1*SUM(S81:S86)), 1000)</f>
        <v>16000</v>
      </c>
      <c r="T87" s="169">
        <f>CEILING((0.1*SUM(T81:T86)), 1000)</f>
        <v>17000</v>
      </c>
      <c r="U87" s="169">
        <f>CEILING((0.1*SUM(U81:U86)), 1000)</f>
        <v>17000</v>
      </c>
      <c r="V87" s="169">
        <f>CEILING((0.1*SUM(V81:V86)), 1000)</f>
        <v>18000</v>
      </c>
      <c r="W87" s="169">
        <f>CEILING((0.1*SUM(W81:W86)), 1000)</f>
        <v>19000</v>
      </c>
      <c r="X87" s="169">
        <f>CEILING((0.1*SUM(X81:X86)), 1000)</f>
        <v>20000</v>
      </c>
      <c r="Y87" s="169">
        <f>CEILING((0.1*SUM(Y81:Y86)), 1000)</f>
        <v>21000</v>
      </c>
      <c r="Z87" s="169">
        <f>CEILING((0.1*SUM(Z81:Z86)), 1000)</f>
        <v>22000</v>
      </c>
      <c r="AA87" s="169">
        <f>CEILING((0.1*SUM(AA81:AA86)), 1000)</f>
        <v>24000</v>
      </c>
      <c r="AB87" s="169">
        <f>CEILING((0.1*SUM(AB81:AB86)), 1000)</f>
        <v>25000</v>
      </c>
      <c r="AC87" s="169">
        <f>CEILING((0.1*SUM(AC81:AC86)), 1000)</f>
        <v>26000</v>
      </c>
      <c r="AD87" s="169">
        <f>CEILING((0.1*SUM(AD81:AD86)), 1000)</f>
        <v>27000</v>
      </c>
      <c r="AE87" s="169">
        <f>CEILING((0.1*SUM(AE81:AE86)), 1000)</f>
        <v>28000</v>
      </c>
      <c r="AF87" s="169">
        <f>CEILING((0.1*SUM(AF81:AF86)), 1000)</f>
        <v>30000</v>
      </c>
      <c r="AG87" s="169">
        <f>CEILING((0.1*SUM(AG81:AG86)), 1000)</f>
        <v>31000</v>
      </c>
      <c r="AH87" s="169">
        <f>CEILING((0.1*SUM(AH81:AH86)), 1000)</f>
        <v>33000</v>
      </c>
      <c r="AI87" s="169">
        <f>CEILING((0.1*SUM(AI81:AI86)), 1000)</f>
        <v>34000</v>
      </c>
      <c r="AJ87" s="169">
        <f>CEILING((0.1*SUM(AJ81:AJ86)), 1000)</f>
        <v>36000</v>
      </c>
      <c r="AK87" s="169">
        <f>CEILING((0.1*SUM(AK81:AK86)), 1000)</f>
        <v>38000</v>
      </c>
      <c r="AL87" s="169">
        <f>CEILING((0.1*SUM(AL81:AL86)), 1000)</f>
        <v>40000</v>
      </c>
      <c r="AM87" s="169">
        <f>CEILING((0.1*SUM(AM81:AM86)), 1000)</f>
        <v>44000</v>
      </c>
      <c r="AN87" s="169">
        <f>CEILING((0.1*SUM(AN81:AN86)), 1000)</f>
        <v>47000</v>
      </c>
      <c r="AO87" s="169">
        <f>CEILING((0.1*SUM(AO81:AO86)), 1000)</f>
        <v>50000</v>
      </c>
      <c r="AP87" s="169">
        <f>CEILING((0.1*SUM(AP81:AP86)), 1000)</f>
        <v>53000</v>
      </c>
      <c r="AQ87" s="169">
        <f>CEILING((0.1*SUM(AQ81:AQ86)), 1000)</f>
        <v>57000</v>
      </c>
      <c r="AR87" s="169">
        <f>CEILING((0.1*SUM(AR81:AR86)), 1000)</f>
        <v>60000</v>
      </c>
      <c r="AS87" s="169">
        <f>CEILING((0.1*SUM(AS81:AS86)), 1000)</f>
        <v>63000</v>
      </c>
      <c r="AT87" s="169">
        <f>CEILING((0.1*SUM(AT81:AT86)), 1000)</f>
        <v>67000</v>
      </c>
      <c r="AU87" s="169">
        <f>CEILING((0.1*SUM(AU81:AU86)), 1000)</f>
        <v>70000</v>
      </c>
      <c r="AV87" s="169">
        <f>CEILING((0.1*SUM(AV81:AV86)), 1000)</f>
        <v>73000</v>
      </c>
      <c r="AW87" s="169">
        <f>CEILING((0.1*SUM(AW81:AW86)), 1000)</f>
        <v>76000</v>
      </c>
      <c r="AX87" s="169">
        <f>CEILING((0.1*SUM(AX81:AX86)), 1000)</f>
        <v>79000</v>
      </c>
      <c r="AY87" s="169">
        <f>CEILING((0.1*SUM(AY81:AY86)), 1000)</f>
        <v>110000</v>
      </c>
      <c r="AZ87" s="169">
        <f>CEILING((0.1*SUM(AZ81:AZ86)), 1000)</f>
        <v>115000</v>
      </c>
      <c r="BA87" s="169">
        <f>CEILING((0.1*SUM(BA81:BA86)), 1000)</f>
        <v>122000</v>
      </c>
      <c r="BB87" s="169">
        <f>CEILING((0.1*SUM(BB81:BB86)), 1000)</f>
        <v>129000</v>
      </c>
      <c r="BC87" s="169">
        <f>CEILING((0.1*SUM(BC81:BC86)), 1000)</f>
        <v>135000</v>
      </c>
      <c r="BD87" s="169">
        <f>CEILING((0.1*SUM(BD81:BD86)), 1000)</f>
        <v>142000</v>
      </c>
      <c r="BE87" s="169">
        <f>CEILING((0.1*SUM(BE81:BE86)), 1000)</f>
        <v>148000</v>
      </c>
      <c r="BF87" s="169">
        <f>CEILING((0.1*SUM(BF81:BF86)), 1000)</f>
        <v>154000</v>
      </c>
      <c r="BG87" s="169">
        <f>CEILING((0.1*SUM(BG81:BG86)), 1000)</f>
        <v>160000</v>
      </c>
      <c r="BH87" s="169">
        <f>CEILING((0.1*SUM(BH81:BH86)), 1000)</f>
        <v>166000</v>
      </c>
      <c r="BI87" s="169">
        <f>CEILING((0.1*SUM(BI81:BI86)), 1000)</f>
        <v>171000</v>
      </c>
      <c r="BJ87" s="169">
        <f>CEILING((0.1*SUM(BJ81:BJ86)), 1000)</f>
        <v>177000</v>
      </c>
      <c r="BK87" s="169">
        <f>CEILING((0.1*SUM(BK81:BK86)), 1000)</f>
        <v>220000</v>
      </c>
      <c r="BL87" s="169">
        <f>CEILING((0.1*SUM(BL81:BL86)), 1000)</f>
        <v>228000</v>
      </c>
      <c r="BM87" s="169">
        <f>CEILING((0.1*SUM(BM81:BM86)), 1000)</f>
        <v>235000</v>
      </c>
      <c r="BN87" s="169">
        <f>CEILING((0.1*SUM(BN81:BN86)), 1000)</f>
        <v>243000</v>
      </c>
      <c r="BO87" s="169">
        <f>CEILING((0.1*SUM(BO81:BO86)), 1000)</f>
        <v>251000</v>
      </c>
      <c r="BP87" s="169">
        <f>CEILING((0.1*SUM(BP81:BP86)), 1000)</f>
        <v>260000</v>
      </c>
      <c r="BQ87" s="169">
        <f>CEILING((0.1*SUM(BQ81:BQ86)), 1000)</f>
        <v>269000</v>
      </c>
      <c r="BR87" s="169">
        <f>CEILING((0.1*SUM(BR81:BR86)), 1000)</f>
        <v>278000</v>
      </c>
    </row>
    <row r="88" spans="1:72" ht="15.75" customHeight="1">
      <c r="B88" s="178" t="s">
        <v>192</v>
      </c>
      <c r="C88" s="175">
        <f>SUM(C81:C87)</f>
        <v>40500</v>
      </c>
      <c r="D88" s="175">
        <f>SUM(D81:D87)</f>
        <v>46095.833333333328</v>
      </c>
      <c r="E88" s="175">
        <f>SUM(E81:E87)</f>
        <v>49711.666666666664</v>
      </c>
      <c r="F88" s="175">
        <f>SUM(F81:F87)</f>
        <v>56349.5</v>
      </c>
      <c r="G88" s="175">
        <f>SUM(G81:G87)</f>
        <v>62011.533333333333</v>
      </c>
      <c r="H88" s="175">
        <f>SUM(H81:H87)</f>
        <v>67700.186666666676</v>
      </c>
      <c r="I88" s="175">
        <f>SUM(I81:I87)</f>
        <v>76418.122000000003</v>
      </c>
      <c r="J88" s="175">
        <f>SUM(J81:J87)</f>
        <v>82168.267533333346</v>
      </c>
      <c r="K88" s="175">
        <f>SUM(K81:K87)</f>
        <v>114116.66666666669</v>
      </c>
      <c r="L88" s="175">
        <f>SUM(L81:L87)</f>
        <v>119831.25000000001</v>
      </c>
      <c r="M88" s="175">
        <f>SUM(M81:M87)</f>
        <v>124545.83333333334</v>
      </c>
      <c r="N88" s="175">
        <f>SUM(N81:N87)</f>
        <v>133260.41666666669</v>
      </c>
      <c r="O88" s="175">
        <f>SUM(O81:O87)</f>
        <v>133475</v>
      </c>
      <c r="P88" s="175">
        <f>SUM(P81:P87)</f>
        <v>142227.60416666669</v>
      </c>
      <c r="Q88" s="175">
        <f>SUM(Q81:Q87)</f>
        <v>150980.20833333334</v>
      </c>
      <c r="R88" s="175">
        <f>SUM(R81:R87)</f>
        <v>159732.81250000003</v>
      </c>
      <c r="S88" s="175">
        <f>SUM(S81:S87)</f>
        <v>169485.41666666669</v>
      </c>
      <c r="T88" s="175">
        <f>SUM(T81:T87)</f>
        <v>178238.02083333337</v>
      </c>
      <c r="U88" s="175">
        <f>SUM(U81:U87)</f>
        <v>185990.62500000003</v>
      </c>
      <c r="V88" s="175">
        <f>SUM(V81:V87)</f>
        <v>195743.22916666669</v>
      </c>
      <c r="W88" s="175">
        <f>SUM(W81:W87)</f>
        <v>204495.83333333337</v>
      </c>
      <c r="X88" s="175">
        <f>SUM(X81:X87)</f>
        <v>214248.43750000006</v>
      </c>
      <c r="Y88" s="175">
        <f>SUM(Y81:Y87)</f>
        <v>229001.04166666674</v>
      </c>
      <c r="Z88" s="175">
        <f>SUM(Z81:Z87)</f>
        <v>237753.64583333337</v>
      </c>
      <c r="AA88" s="175">
        <f>SUM(AA81:AA87)</f>
        <v>254506.25</v>
      </c>
      <c r="AB88" s="175">
        <f>SUM(AB81:AB87)</f>
        <v>268105.59895833337</v>
      </c>
      <c r="AC88" s="175">
        <f>SUM(AC81:AC87)</f>
        <v>280704.94791666669</v>
      </c>
      <c r="AD88" s="175">
        <f>SUM(AD81:AD87)</f>
        <v>294304.296875</v>
      </c>
      <c r="AE88" s="175">
        <f>SUM(AE81:AE87)</f>
        <v>307903.64583333337</v>
      </c>
      <c r="AF88" s="175">
        <f>SUM(AF81:AF87)</f>
        <v>323502.99479166674</v>
      </c>
      <c r="AG88" s="175">
        <f>SUM(AG81:AG87)</f>
        <v>339102.34375000006</v>
      </c>
      <c r="AH88" s="175">
        <f>SUM(AH81:AH87)</f>
        <v>355701.69270833343</v>
      </c>
      <c r="AI88" s="175">
        <f>SUM(AI81:AI87)</f>
        <v>372301.04166666674</v>
      </c>
      <c r="AJ88" s="175">
        <f>SUM(AJ81:AJ87)</f>
        <v>390900.39062500012</v>
      </c>
      <c r="AK88" s="175">
        <f>SUM(AK81:AK87)</f>
        <v>415499.73958333349</v>
      </c>
      <c r="AL88" s="175">
        <f>SUM(AL81:AL87)</f>
        <v>436099.08854166674</v>
      </c>
      <c r="AM88" s="175">
        <f>SUM(AM81:AM87)</f>
        <v>478698.4375</v>
      </c>
      <c r="AN88" s="175">
        <f>SUM(AN81:AN87)</f>
        <v>510614.55078125</v>
      </c>
      <c r="AO88" s="175">
        <f>SUM(AO81:AO87)</f>
        <v>545530.6640625</v>
      </c>
      <c r="AP88" s="175">
        <f>SUM(AP81:AP87)</f>
        <v>580446.77734375</v>
      </c>
      <c r="AQ88" s="175">
        <f>SUM(AQ81:AQ87)</f>
        <v>618362.890625</v>
      </c>
      <c r="AR88" s="175">
        <f>SUM(AR81:AR87)</f>
        <v>655279.00390625</v>
      </c>
      <c r="AS88" s="175">
        <f>SUM(AS81:AS87)</f>
        <v>692195.1171875</v>
      </c>
      <c r="AT88" s="175">
        <f>SUM(AT81:AT87)</f>
        <v>731111.23046875</v>
      </c>
      <c r="AU88" s="175">
        <f>SUM(AU81:AU87)</f>
        <v>767027.34375</v>
      </c>
      <c r="AV88" s="175">
        <f>SUM(AV81:AV87)</f>
        <v>801943.45703125</v>
      </c>
      <c r="AW88" s="175">
        <f>SUM(AW81:AW87)</f>
        <v>834859.5703125</v>
      </c>
      <c r="AX88" s="175">
        <f>SUM(AX81:AX87)</f>
        <v>865775.68359375</v>
      </c>
      <c r="AY88" s="175">
        <f>SUM(AY81:AY87)</f>
        <v>1209691.796875</v>
      </c>
      <c r="AZ88" s="175">
        <f>SUM(AZ81:AZ87)</f>
        <v>1263437.3291015625</v>
      </c>
      <c r="BA88" s="175">
        <f>SUM(BA81:BA87)</f>
        <v>1338632.861328125</v>
      </c>
      <c r="BB88" s="175">
        <f>SUM(BB81:BB87)</f>
        <v>1412600.8935546875</v>
      </c>
      <c r="BC88" s="175">
        <f>SUM(BC81:BC87)</f>
        <v>1483380.05078125</v>
      </c>
      <c r="BD88" s="175">
        <f>SUM(BD81:BD87)</f>
        <v>1554010.8892578124</v>
      </c>
      <c r="BE88" s="175">
        <f>SUM(BE81:BE87)</f>
        <v>1622535.9930468751</v>
      </c>
      <c r="BF88" s="175">
        <f>SUM(BF81:BF87)</f>
        <v>1689000.0754140625</v>
      </c>
      <c r="BG88" s="175">
        <f>SUM(BG81:BG87)</f>
        <v>1753450.0852882813</v>
      </c>
      <c r="BH88" s="175">
        <f>SUM(BH81:BH87)</f>
        <v>1817935.3190448829</v>
      </c>
      <c r="BI88" s="175">
        <f>SUM(BI81:BI87)</f>
        <v>1879508.5378779864</v>
      </c>
      <c r="BJ88" s="175">
        <f>SUM(BJ81:BJ87)</f>
        <v>1942223.0910414171</v>
      </c>
      <c r="BK88" s="175">
        <f>SUM(BK81:BK87)</f>
        <v>2419136.0452516912</v>
      </c>
      <c r="BL88" s="175">
        <f>SUM(BL81:BL87)</f>
        <v>2501493.6975142756</v>
      </c>
      <c r="BM88" s="175">
        <f>SUM(BM81:BM87)</f>
        <v>2584219.1823899895</v>
      </c>
      <c r="BN88" s="175">
        <f>SUM(BN81:BN87)</f>
        <v>2670480.8915094892</v>
      </c>
      <c r="BO88" s="175">
        <f>SUM(BO81:BO87)</f>
        <v>2759455.6360849636</v>
      </c>
      <c r="BP88" s="175">
        <f>SUM(BP81:BP87)</f>
        <v>2853329.0678892122</v>
      </c>
      <c r="BQ88" s="175">
        <f>SUM(BQ81:BQ87)</f>
        <v>2950296.1212836723</v>
      </c>
      <c r="BR88" s="175">
        <f>SUM(BR81:BR87)</f>
        <v>3050561.4773478564</v>
      </c>
    </row>
    <row r="89" spans="1:72" s="124" customFormat="1" ht="7.5" customHeight="1">
      <c r="A89" s="123"/>
    </row>
    <row r="90" spans="1:72" ht="15.75" customHeight="1">
      <c r="B90" s="177" t="s">
        <v>187</v>
      </c>
      <c r="C90" s="172">
        <f>C77-C88</f>
        <v>-40500</v>
      </c>
      <c r="D90" s="172">
        <f>D77-D88</f>
        <v>-50936.634458333327</v>
      </c>
      <c r="E90" s="172">
        <f>E77-E88</f>
        <v>-56003.516650482619</v>
      </c>
      <c r="F90" s="172">
        <f>F77-F88</f>
        <v>-64526.89215458784</v>
      </c>
      <c r="G90" s="172">
        <f>G77-G88</f>
        <v>-67905.463043751035</v>
      </c>
      <c r="H90" s="172">
        <f>H77-H88</f>
        <v>-74674.911621771316</v>
      </c>
      <c r="I90" s="172">
        <f>I77-I88</f>
        <v>-84840.13820312274</v>
      </c>
      <c r="J90" s="172">
        <f>J77-J88</f>
        <v>-93112.235531005848</v>
      </c>
      <c r="K90" s="172">
        <f>K77-K88</f>
        <v>-128335.96816987282</v>
      </c>
      <c r="L90" s="172">
        <f>L77-L88</f>
        <v>-138303.07869730753</v>
      </c>
      <c r="M90" s="172">
        <f>M77-M88</f>
        <v>-136976.73316767745</v>
      </c>
      <c r="N90" s="172">
        <f>N77-N88</f>
        <v>-149400.95095305049</v>
      </c>
      <c r="O90" s="172">
        <f>O77-O88</f>
        <v>-149547.51427816431</v>
      </c>
      <c r="P90" s="172">
        <f>P77-P88</f>
        <v>-159888.19269989469</v>
      </c>
      <c r="Q90" s="172">
        <f>Q77-Q88</f>
        <v>-170383.70176160548</v>
      </c>
      <c r="R90" s="172">
        <f>R77-R88</f>
        <v>-181048.70586892247</v>
      </c>
      <c r="S90" s="172">
        <f>S77-S88</f>
        <v>-192899.16929835113</v>
      </c>
      <c r="T90" s="172">
        <f>T77-T88</f>
        <v>-203952.45292872438</v>
      </c>
      <c r="U90" s="172">
        <f>U77-U88</f>
        <v>-214227.41421175719</v>
      </c>
      <c r="V90" s="172">
        <f>V77-V88</f>
        <v>-226744.50952697845</v>
      </c>
      <c r="W90" s="172">
        <f>W77-W88</f>
        <v>-238525.89778623404</v>
      </c>
      <c r="X90" s="172">
        <f>X77-X88</f>
        <v>-237810.68708898223</v>
      </c>
      <c r="Y90" s="172">
        <f>Y77-Y88</f>
        <v>-254854.06364505368</v>
      </c>
      <c r="Z90" s="172">
        <f>Z77-Z88</f>
        <v>-266113.17271827586</v>
      </c>
      <c r="AA90" s="172">
        <f>AA77-AA88</f>
        <v>-274546.70334065345</v>
      </c>
      <c r="AB90" s="172">
        <f>AB77-AB88</f>
        <v>-292075.83136365045</v>
      </c>
      <c r="AC90" s="172">
        <f>AC77-AC88</f>
        <v>-309357.19647683616</v>
      </c>
      <c r="AD90" s="172">
        <f>AD77-AD88</f>
        <v>-328526.93440100423</v>
      </c>
      <c r="AE90" s="172">
        <f>AE77-AE88</f>
        <v>-348742.47914760542</v>
      </c>
      <c r="AF90" s="172">
        <f>AF77-AF88</f>
        <v>-372184.46808432409</v>
      </c>
      <c r="AG90" s="172">
        <f>AG77-AG88</f>
        <v>-352929.86990809347</v>
      </c>
      <c r="AH90" s="172">
        <f>AH77-AH88</f>
        <v>-372130.55462937971</v>
      </c>
      <c r="AI90" s="172">
        <f>AI77-AI88</f>
        <v>-391783.93353468843</v>
      </c>
      <c r="AJ90" s="172">
        <f>AJ77-AJ88</f>
        <v>-413953.96229207312</v>
      </c>
      <c r="AK90" s="172">
        <f>AK77-AK88</f>
        <v>-442707.74226325669</v>
      </c>
      <c r="AL90" s="172">
        <f>AL77-AL88</f>
        <v>-468113.16880515171</v>
      </c>
      <c r="AM90" s="172">
        <f>AM77-AM88</f>
        <v>-340495.57735118654</v>
      </c>
      <c r="AN90" s="172">
        <f>AN77-AN88</f>
        <v>-348889.39525543712</v>
      </c>
      <c r="AO90" s="172">
        <f>AO77-AO88</f>
        <v>-357098.13783388864</v>
      </c>
      <c r="AP90" s="172">
        <f>AP77-AP88</f>
        <v>-361978.46687142138</v>
      </c>
      <c r="AQ90" s="172">
        <f>AQ77-AQ88</f>
        <v>-366481.06937637849</v>
      </c>
      <c r="AR90" s="172">
        <f>AR77-AR88</f>
        <v>-366680.31656368688</v>
      </c>
      <c r="AS90" s="172">
        <f>AS77-AS88</f>
        <v>-363800.78327488207</v>
      </c>
      <c r="AT90" s="172">
        <f>AT77-AT88</f>
        <v>-360235.42899203824</v>
      </c>
      <c r="AU90" s="172">
        <f>AU77-AU88</f>
        <v>-351549.7665339103</v>
      </c>
      <c r="AV90" s="172">
        <f>AV77-AV88</f>
        <v>-340467.19018915249</v>
      </c>
      <c r="AW90" s="172">
        <f>AW77-AW88</f>
        <v>-326833.15651319234</v>
      </c>
      <c r="AX90" s="172">
        <f>AX77-AX88</f>
        <v>-311559.93249159609</v>
      </c>
      <c r="AY90" s="172">
        <f>AY77-AY88</f>
        <v>937253.53867369657</v>
      </c>
      <c r="AZ90" s="172">
        <f>AZ77-AZ88</f>
        <v>1115727.3352103555</v>
      </c>
      <c r="BA90" s="172">
        <f>BA77-BA88</f>
        <v>1264173.2636029655</v>
      </c>
      <c r="BB90" s="172">
        <f>BB77-BB88</f>
        <v>1399387.2993399799</v>
      </c>
      <c r="BC90" s="172">
        <f>BC77-BC88</f>
        <v>1518756.2432096126</v>
      </c>
      <c r="BD90" s="172">
        <f>BD77-BD88</f>
        <v>1616344.1001552423</v>
      </c>
      <c r="BE90" s="172">
        <f>BE77-BE88</f>
        <v>1692956.3566981396</v>
      </c>
      <c r="BF90" s="172">
        <f>BF77-BF88</f>
        <v>1748931.8771577301</v>
      </c>
      <c r="BG90" s="172">
        <f>BG77-BG88</f>
        <v>1785763.3739930529</v>
      </c>
      <c r="BH90" s="172">
        <f>BH77-BH88</f>
        <v>1803664.2173816049</v>
      </c>
      <c r="BI90" s="172">
        <f>BI77-BI88</f>
        <v>1808174.0890213537</v>
      </c>
      <c r="BJ90" s="172">
        <f>BJ77-BJ88</f>
        <v>1797859.7138742155</v>
      </c>
      <c r="BK90" s="172">
        <f>BK77-BK88</f>
        <v>5993557.8975022864</v>
      </c>
      <c r="BL90" s="172">
        <f>BL77-BL88</f>
        <v>5982310.7697650194</v>
      </c>
      <c r="BM90" s="172">
        <f>BM77-BM88</f>
        <v>5954710.3535978049</v>
      </c>
      <c r="BN90" s="172">
        <f>BN77-BN88</f>
        <v>5910987.4015201749</v>
      </c>
      <c r="BO90" s="172">
        <f>BO77-BO88</f>
        <v>5854722.7227555206</v>
      </c>
      <c r="BP90" s="172">
        <f>BP77-BP88</f>
        <v>5785932.7677099239</v>
      </c>
      <c r="BQ90" s="172">
        <f>BQ77-BQ88</f>
        <v>5708160.2304331604</v>
      </c>
      <c r="BR90" s="172">
        <f>BR77-BR88</f>
        <v>5622559.2155288961</v>
      </c>
      <c r="BT90" s="113"/>
    </row>
    <row r="91" spans="1:72" ht="15.75" customHeight="1">
      <c r="B91" s="174" t="s">
        <v>191</v>
      </c>
      <c r="C91" s="179" t="str">
        <f>IFERROR(C90/C70,"")</f>
        <v/>
      </c>
      <c r="D91" s="179" t="str">
        <f t="shared" ref="D91:BO91" si="4">IFERROR(D90/D70,"")</f>
        <v/>
      </c>
      <c r="E91" s="179" t="str">
        <f t="shared" si="4"/>
        <v/>
      </c>
      <c r="F91" s="179" t="str">
        <f t="shared" si="4"/>
        <v/>
      </c>
      <c r="G91" s="179" t="str">
        <f t="shared" si="4"/>
        <v/>
      </c>
      <c r="H91" s="179" t="str">
        <f t="shared" si="4"/>
        <v/>
      </c>
      <c r="I91" s="179" t="str">
        <f t="shared" si="4"/>
        <v/>
      </c>
      <c r="J91" s="179" t="str">
        <f t="shared" si="4"/>
        <v/>
      </c>
      <c r="K91" s="179" t="str">
        <f t="shared" si="4"/>
        <v/>
      </c>
      <c r="L91" s="179" t="str">
        <f t="shared" si="4"/>
        <v/>
      </c>
      <c r="M91" s="179" t="str">
        <f t="shared" si="4"/>
        <v/>
      </c>
      <c r="N91" s="179" t="str">
        <f t="shared" si="4"/>
        <v/>
      </c>
      <c r="O91" s="179">
        <f t="shared" si="4"/>
        <v>-50.419890798178329</v>
      </c>
      <c r="P91" s="179">
        <f t="shared" si="4"/>
        <v>-49.058709136043014</v>
      </c>
      <c r="Q91" s="179">
        <f t="shared" si="4"/>
        <v>-47.582935482504972</v>
      </c>
      <c r="R91" s="179">
        <f t="shared" si="4"/>
        <v>-46.024919227271859</v>
      </c>
      <c r="S91" s="179">
        <f t="shared" si="4"/>
        <v>-44.643509727211693</v>
      </c>
      <c r="T91" s="179">
        <f t="shared" si="4"/>
        <v>-42.978240761358975</v>
      </c>
      <c r="U91" s="179">
        <f t="shared" si="4"/>
        <v>-41.110597140763765</v>
      </c>
      <c r="V91" s="179">
        <f t="shared" si="4"/>
        <v>-39.632216613426934</v>
      </c>
      <c r="W91" s="179">
        <f t="shared" si="4"/>
        <v>-37.980516957329094</v>
      </c>
      <c r="X91" s="179">
        <f t="shared" si="4"/>
        <v>-34.503178630685582</v>
      </c>
      <c r="Y91" s="179">
        <f t="shared" si="4"/>
        <v>-33.699140432752252</v>
      </c>
      <c r="Z91" s="179">
        <f t="shared" si="4"/>
        <v>-32.077424534705038</v>
      </c>
      <c r="AA91" s="179">
        <f t="shared" si="4"/>
        <v>-12.344080171228084</v>
      </c>
      <c r="AB91" s="179">
        <f t="shared" si="4"/>
        <v>-10.978677866337106</v>
      </c>
      <c r="AC91" s="179">
        <f t="shared" si="4"/>
        <v>-9.7274786136292182</v>
      </c>
      <c r="AD91" s="179">
        <f t="shared" si="4"/>
        <v>-8.6481462851615696</v>
      </c>
      <c r="AE91" s="179">
        <f t="shared" si="4"/>
        <v>-7.6923222716895756</v>
      </c>
      <c r="AF91" s="179">
        <f t="shared" si="4"/>
        <v>-6.8861018819613014</v>
      </c>
      <c r="AG91" s="179">
        <f t="shared" si="4"/>
        <v>-5.4842151868696574</v>
      </c>
      <c r="AH91" s="179">
        <f t="shared" si="4"/>
        <v>-4.8638656712763648</v>
      </c>
      <c r="AI91" s="179">
        <f t="shared" si="4"/>
        <v>-4.3147931143911915</v>
      </c>
      <c r="AJ91" s="179">
        <f t="shared" si="4"/>
        <v>-3.8494232302984726</v>
      </c>
      <c r="AK91" s="179">
        <f t="shared" si="4"/>
        <v>-3.4845823723070839</v>
      </c>
      <c r="AL91" s="179">
        <f t="shared" si="4"/>
        <v>-3.1276106183155603</v>
      </c>
      <c r="AM91" s="179">
        <f t="shared" si="4"/>
        <v>-0.96874846834264616</v>
      </c>
      <c r="AN91" s="179">
        <f t="shared" si="4"/>
        <v>-0.84863098635208578</v>
      </c>
      <c r="AO91" s="179">
        <f t="shared" si="4"/>
        <v>-0.74586511568719649</v>
      </c>
      <c r="AP91" s="179">
        <f t="shared" si="4"/>
        <v>-0.65248785901066486</v>
      </c>
      <c r="AQ91" s="179">
        <f t="shared" si="4"/>
        <v>-0.57334151375108533</v>
      </c>
      <c r="AR91" s="179">
        <f t="shared" si="4"/>
        <v>-0.50103001107892764</v>
      </c>
      <c r="AS91" s="179">
        <f t="shared" si="4"/>
        <v>-0.43720061617233141</v>
      </c>
      <c r="AT91" s="179">
        <f t="shared" si="4"/>
        <v>-0.38365529755994021</v>
      </c>
      <c r="AU91" s="179">
        <f t="shared" si="4"/>
        <v>-0.33451629124266069</v>
      </c>
      <c r="AV91" s="179">
        <f t="shared" si="4"/>
        <v>-0.2919560551958183</v>
      </c>
      <c r="AW91" s="179">
        <f t="shared" si="4"/>
        <v>-0.25483361742284111</v>
      </c>
      <c r="AX91" s="179">
        <f t="shared" si="4"/>
        <v>-0.22289926585714426</v>
      </c>
      <c r="AY91" s="179">
        <f t="shared" si="4"/>
        <v>0.30456665370234454</v>
      </c>
      <c r="AZ91" s="179">
        <f t="shared" si="4"/>
        <v>0.32730482921590626</v>
      </c>
      <c r="BA91" s="179">
        <f t="shared" si="4"/>
        <v>0.33912072866303583</v>
      </c>
      <c r="BB91" s="179">
        <f t="shared" si="4"/>
        <v>0.34759847880694633</v>
      </c>
      <c r="BC91" s="179">
        <f t="shared" si="4"/>
        <v>0.35347911687022304</v>
      </c>
      <c r="BD91" s="179">
        <f t="shared" si="4"/>
        <v>0.35634456237390771</v>
      </c>
      <c r="BE91" s="179">
        <f t="shared" si="4"/>
        <v>0.35699613400497826</v>
      </c>
      <c r="BF91" s="179">
        <f t="shared" si="4"/>
        <v>0.35575069360949807</v>
      </c>
      <c r="BG91" s="179">
        <f t="shared" si="4"/>
        <v>0.35291888469136212</v>
      </c>
      <c r="BH91" s="179">
        <f t="shared" si="4"/>
        <v>0.34840561559001759</v>
      </c>
      <c r="BI91" s="179">
        <f t="shared" si="4"/>
        <v>0.3430639093684732</v>
      </c>
      <c r="BJ91" s="179">
        <f t="shared" si="4"/>
        <v>0.33636409381293247</v>
      </c>
      <c r="BK91" s="179">
        <f t="shared" si="4"/>
        <v>0.59727742229902858</v>
      </c>
      <c r="BL91" s="179">
        <f t="shared" si="4"/>
        <v>0.59117738845043544</v>
      </c>
      <c r="BM91" s="179">
        <f t="shared" si="4"/>
        <v>0.58466464819364683</v>
      </c>
      <c r="BN91" s="179">
        <f t="shared" si="4"/>
        <v>0.57750519439252979</v>
      </c>
      <c r="BO91" s="179">
        <f t="shared" si="4"/>
        <v>0.56984399869745883</v>
      </c>
      <c r="BP91" s="179">
        <f t="shared" ref="BP91:BR91" si="5">IFERROR(BP90/BP70,"")</f>
        <v>0.56151956873912989</v>
      </c>
      <c r="BQ91" s="179">
        <f t="shared" si="5"/>
        <v>0.55274826889556805</v>
      </c>
      <c r="BR91" s="179">
        <f t="shared" si="5"/>
        <v>0.54354196106953434</v>
      </c>
    </row>
    <row r="92" spans="1:72" s="124" customFormat="1" ht="7.5" customHeight="1">
      <c r="A92" s="123"/>
    </row>
    <row r="93" spans="1:72" ht="15.75" customHeight="1">
      <c r="B93" s="163" t="s">
        <v>116</v>
      </c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f>IF(M90&gt;0, M90*0.25, 0)</f>
        <v>0</v>
      </c>
      <c r="N93" s="157">
        <f>IF(N90&gt;0, N90*0.25, 0)</f>
        <v>0</v>
      </c>
      <c r="O93" s="157">
        <f>IF(O90&gt;0, O90*0.25, 0)</f>
        <v>0</v>
      </c>
      <c r="P93" s="157">
        <f>IF(P90&gt;0, P90*0.25, 0)</f>
        <v>0</v>
      </c>
      <c r="Q93" s="157">
        <f>IF(Q90&gt;0, Q90*0.25, 0)</f>
        <v>0</v>
      </c>
      <c r="R93" s="157">
        <f>IF(R90&gt;0, R90*0.25, 0)</f>
        <v>0</v>
      </c>
      <c r="S93" s="157">
        <f>IF(S90&gt;0, S90*0.25, 0)</f>
        <v>0</v>
      </c>
      <c r="T93" s="157">
        <f>IF(T90&gt;0, T90*0.25, 0)</f>
        <v>0</v>
      </c>
      <c r="U93" s="157">
        <f>IF(U90&gt;0, U90*0.25, 0)</f>
        <v>0</v>
      </c>
      <c r="V93" s="157">
        <f>IF(V90&gt;0, V90*0.25, 0)</f>
        <v>0</v>
      </c>
      <c r="W93" s="157">
        <f>IF(W90&gt;0, W90*0.25, 0)</f>
        <v>0</v>
      </c>
      <c r="X93" s="157">
        <f>IF(X90&gt;0, X90*0.25, 0)</f>
        <v>0</v>
      </c>
      <c r="Y93" s="154">
        <f>CEILING((IF(Y90&gt;0, Y90*0.25, 0)), 1000)</f>
        <v>0</v>
      </c>
      <c r="Z93" s="154">
        <f>CEILING((IF(Z90&gt;0, Z90*0.25, 0)), 1000)</f>
        <v>0</v>
      </c>
      <c r="AA93" s="154">
        <f>CEILING((IF(AA90&gt;0, AA90*0.25, 0)), 1000)</f>
        <v>0</v>
      </c>
      <c r="AB93" s="154">
        <f>CEILING((IF(AB90&gt;0, AB90*0.25, 0)), 1000)</f>
        <v>0</v>
      </c>
      <c r="AC93" s="154">
        <f>CEILING((IF(AC90&gt;0, AC90*0.25, 0)), 1000)</f>
        <v>0</v>
      </c>
      <c r="AD93" s="154">
        <f>CEILING((IF(AD90&gt;0, AD90*0.25, 0)), 1000)</f>
        <v>0</v>
      </c>
      <c r="AE93" s="154">
        <f>CEILING((IF(AE90&gt;0, AE90*0.25, 0)), 1000)</f>
        <v>0</v>
      </c>
      <c r="AF93" s="154">
        <f>CEILING((IF(AF90&gt;0, AF90*0.25, 0)), 1000)</f>
        <v>0</v>
      </c>
      <c r="AG93" s="154">
        <f>CEILING((IF(AG90&gt;0, AG90*0.25, 0)), 1000)</f>
        <v>0</v>
      </c>
      <c r="AH93" s="154">
        <f>CEILING((IF(AH90&gt;0, AH90*0.25, 0)), 1000)</f>
        <v>0</v>
      </c>
      <c r="AI93" s="154">
        <f>CEILING((IF(AI90&gt;0, AI90*0.25, 0)), 1000)</f>
        <v>0</v>
      </c>
      <c r="AJ93" s="154">
        <f>CEILING((IF(AJ90&gt;0, AJ90*0.25, 0)), 1000)</f>
        <v>0</v>
      </c>
      <c r="AK93" s="154">
        <f>CEILING((IF(AK90&gt;0, AK90*0.25, 0)), 1000)</f>
        <v>0</v>
      </c>
      <c r="AL93" s="154">
        <f>CEILING((IF(AL90&gt;0, AL90*0.25, 0)), 1000)</f>
        <v>0</v>
      </c>
      <c r="AM93" s="154">
        <f>CEILING((IF(AM90&gt;0, AM90*0.25, 0)), 1000)</f>
        <v>0</v>
      </c>
      <c r="AN93" s="154">
        <f>CEILING((IF(AN90&gt;0, AN90*0.25, 0)), 1000)</f>
        <v>0</v>
      </c>
      <c r="AO93" s="154">
        <f>CEILING((IF(AO90&gt;0, AO90*0.25, 0)), 1000)</f>
        <v>0</v>
      </c>
      <c r="AP93" s="154">
        <f>CEILING((IF(AP90&gt;0, AP90*0.25, 0)), 1000)</f>
        <v>0</v>
      </c>
      <c r="AQ93" s="154">
        <f>CEILING((IF(AQ90&gt;0, AQ90*0.25, 0)), 1000)</f>
        <v>0</v>
      </c>
      <c r="AR93" s="154">
        <f>CEILING((IF(AR90&gt;0, AR90*0.25, 0)), 1000)</f>
        <v>0</v>
      </c>
      <c r="AS93" s="154">
        <f>CEILING((IF(AS90&gt;0, AS90*0.25, 0)), 1000)</f>
        <v>0</v>
      </c>
      <c r="AT93" s="154">
        <f>CEILING((IF(AT90&gt;0, AT90*0.25, 0)), 1000)</f>
        <v>0</v>
      </c>
      <c r="AU93" s="154">
        <f>CEILING((IF(AU90&gt;0, AU90*0.25, 0)), 1000)</f>
        <v>0</v>
      </c>
      <c r="AV93" s="154">
        <f>CEILING((IF(AV90&gt;0, AV90*0.25, 0)), 1000)</f>
        <v>0</v>
      </c>
      <c r="AW93" s="154">
        <f>CEILING((IF(AW90&gt;0, AW90*0.25, 0)), 1000)</f>
        <v>0</v>
      </c>
      <c r="AX93" s="154">
        <f>CEILING((IF(AX90&gt;0, AX90*0.25, 0)), 1000)</f>
        <v>0</v>
      </c>
      <c r="AY93" s="154">
        <f>CEILING((IF(AY90&gt;0, AY90*0.25, 0)), 1000)</f>
        <v>235000</v>
      </c>
      <c r="AZ93" s="154">
        <f>CEILING((IF(AZ90&gt;0, AZ90*0.25, 0)), 1000)</f>
        <v>279000</v>
      </c>
      <c r="BA93" s="154">
        <f>CEILING((IF(BA90&gt;0, BA90*0.25, 0)), 1000)</f>
        <v>317000</v>
      </c>
      <c r="BB93" s="154">
        <f>CEILING((IF(BB90&gt;0, BB90*0.25, 0)), 1000)</f>
        <v>350000</v>
      </c>
      <c r="BC93" s="154">
        <f>CEILING((IF(BC90&gt;0, BC90*0.25, 0)), 1000)</f>
        <v>380000</v>
      </c>
      <c r="BD93" s="154">
        <f>CEILING((IF(BD90&gt;0, BD90*0.25, 0)), 1000)</f>
        <v>405000</v>
      </c>
      <c r="BE93" s="154">
        <f>CEILING((IF(BE90&gt;0, BE90*0.25, 0)), 1000)</f>
        <v>424000</v>
      </c>
      <c r="BF93" s="154">
        <f>CEILING((IF(BF90&gt;0, BF90*0.25, 0)), 1000)</f>
        <v>438000</v>
      </c>
      <c r="BG93" s="154">
        <f>CEILING((IF(BG90&gt;0, BG90*0.25, 0)), 1000)</f>
        <v>447000</v>
      </c>
      <c r="BH93" s="154">
        <f>CEILING((IF(BH90&gt;0, BH90*0.25, 0)), 1000)</f>
        <v>451000</v>
      </c>
      <c r="BI93" s="154">
        <f>CEILING((IF(BI90&gt;0, BI90*0.25, 0)), 1000)</f>
        <v>453000</v>
      </c>
      <c r="BJ93" s="154">
        <f>CEILING((IF(BJ90&gt;0, BJ90*0.25, 0)), 1000)</f>
        <v>450000</v>
      </c>
      <c r="BK93" s="154">
        <f>CEILING((IF(BK90&gt;0, BK90*0.25, 0)), 1000)</f>
        <v>1499000</v>
      </c>
      <c r="BL93" s="154">
        <f>CEILING((IF(BL90&gt;0, BL90*0.25, 0)), 1000)</f>
        <v>1496000</v>
      </c>
      <c r="BM93" s="154">
        <f>CEILING((IF(BM90&gt;0, BM90*0.25, 0)), 1000)</f>
        <v>1489000</v>
      </c>
      <c r="BN93" s="154">
        <f>CEILING((IF(BN90&gt;0, BN90*0.25, 0)), 1000)</f>
        <v>1478000</v>
      </c>
      <c r="BO93" s="154">
        <f>CEILING((IF(BO90&gt;0, BO90*0.25, 0)), 1000)</f>
        <v>1464000</v>
      </c>
      <c r="BP93" s="154">
        <f>CEILING((IF(BP90&gt;0, BP90*0.25, 0)), 1000)</f>
        <v>1447000</v>
      </c>
      <c r="BQ93" s="154">
        <f>CEILING((IF(BQ90&gt;0, BQ90*0.25, 0)), 1000)</f>
        <v>1428000</v>
      </c>
      <c r="BR93" s="154">
        <f>CEILING((IF(BR90&gt;0, BR90*0.25, 0)), 1000)</f>
        <v>1406000</v>
      </c>
    </row>
    <row r="94" spans="1:72" ht="15.75" customHeight="1">
      <c r="B94" s="164" t="s">
        <v>186</v>
      </c>
      <c r="C94" s="155">
        <f>C90-C93</f>
        <v>-40500</v>
      </c>
      <c r="D94" s="155">
        <f>D90-D93</f>
        <v>-50936.634458333327</v>
      </c>
      <c r="E94" s="155">
        <f>E90-E93</f>
        <v>-56003.516650482619</v>
      </c>
      <c r="F94" s="155">
        <f>F90-F93</f>
        <v>-64526.89215458784</v>
      </c>
      <c r="G94" s="155">
        <f>G90-G93</f>
        <v>-67905.463043751035</v>
      </c>
      <c r="H94" s="155">
        <f>H90-H93</f>
        <v>-74674.911621771316</v>
      </c>
      <c r="I94" s="155">
        <f>I90-I93</f>
        <v>-84840.13820312274</v>
      </c>
      <c r="J94" s="155">
        <f>J90-J93</f>
        <v>-93112.235531005848</v>
      </c>
      <c r="K94" s="155">
        <f>K90-K93</f>
        <v>-128335.96816987282</v>
      </c>
      <c r="L94" s="155">
        <f>L90-L93</f>
        <v>-138303.07869730753</v>
      </c>
      <c r="M94" s="155">
        <f>M90-M93</f>
        <v>-136976.73316767745</v>
      </c>
      <c r="N94" s="155">
        <f>N90-N93</f>
        <v>-149400.95095305049</v>
      </c>
      <c r="O94" s="155">
        <f>O90-O93</f>
        <v>-149547.51427816431</v>
      </c>
      <c r="P94" s="155">
        <f>P90-P93</f>
        <v>-159888.19269989469</v>
      </c>
      <c r="Q94" s="155">
        <f>Q90-Q93</f>
        <v>-170383.70176160548</v>
      </c>
      <c r="R94" s="155">
        <f>R90-R93</f>
        <v>-181048.70586892247</v>
      </c>
      <c r="S94" s="155">
        <f>S90-S93</f>
        <v>-192899.16929835113</v>
      </c>
      <c r="T94" s="155">
        <f>T90-T93</f>
        <v>-203952.45292872438</v>
      </c>
      <c r="U94" s="155">
        <f>U90-U93</f>
        <v>-214227.41421175719</v>
      </c>
      <c r="V94" s="155">
        <f>V90-V93</f>
        <v>-226744.50952697845</v>
      </c>
      <c r="W94" s="155">
        <f>W90-W93</f>
        <v>-238525.89778623404</v>
      </c>
      <c r="X94" s="155">
        <f>X90-X93</f>
        <v>-237810.68708898223</v>
      </c>
      <c r="Y94" s="155">
        <f>Y90-Y93</f>
        <v>-254854.06364505368</v>
      </c>
      <c r="Z94" s="155">
        <f>Z90-Z93</f>
        <v>-266113.17271827586</v>
      </c>
      <c r="AA94" s="155">
        <f>AA90-AA93</f>
        <v>-274546.70334065345</v>
      </c>
      <c r="AB94" s="155">
        <f>AB90-AB93</f>
        <v>-292075.83136365045</v>
      </c>
      <c r="AC94" s="155">
        <f>AC90-AC93</f>
        <v>-309357.19647683616</v>
      </c>
      <c r="AD94" s="155">
        <f>AD90-AD93</f>
        <v>-328526.93440100423</v>
      </c>
      <c r="AE94" s="155">
        <f>AE90-AE93</f>
        <v>-348742.47914760542</v>
      </c>
      <c r="AF94" s="155">
        <f>AF90-AF93</f>
        <v>-372184.46808432409</v>
      </c>
      <c r="AG94" s="155">
        <f>AG90-AG93</f>
        <v>-352929.86990809347</v>
      </c>
      <c r="AH94" s="155">
        <f>AH90-AH93</f>
        <v>-372130.55462937971</v>
      </c>
      <c r="AI94" s="155">
        <f>AI90-AI93</f>
        <v>-391783.93353468843</v>
      </c>
      <c r="AJ94" s="155">
        <f>AJ90-AJ93</f>
        <v>-413953.96229207312</v>
      </c>
      <c r="AK94" s="155">
        <f>AK90-AK93</f>
        <v>-442707.74226325669</v>
      </c>
      <c r="AL94" s="155">
        <f>AL90-AL93</f>
        <v>-468113.16880515171</v>
      </c>
      <c r="AM94" s="155">
        <f>AM90-AM93</f>
        <v>-340495.57735118654</v>
      </c>
      <c r="AN94" s="155">
        <f>AN90-AN93</f>
        <v>-348889.39525543712</v>
      </c>
      <c r="AO94" s="155">
        <f>AO90-AO93</f>
        <v>-357098.13783388864</v>
      </c>
      <c r="AP94" s="155">
        <f>AP90-AP93</f>
        <v>-361978.46687142138</v>
      </c>
      <c r="AQ94" s="155">
        <f>AQ90-AQ93</f>
        <v>-366481.06937637849</v>
      </c>
      <c r="AR94" s="155">
        <f>AR90-AR93</f>
        <v>-366680.31656368688</v>
      </c>
      <c r="AS94" s="155">
        <f>AS90-AS93</f>
        <v>-363800.78327488207</v>
      </c>
      <c r="AT94" s="155">
        <f>AT90-AT93</f>
        <v>-360235.42899203824</v>
      </c>
      <c r="AU94" s="155">
        <f>AU90-AU93</f>
        <v>-351549.7665339103</v>
      </c>
      <c r="AV94" s="155">
        <f>AV90-AV93</f>
        <v>-340467.19018915249</v>
      </c>
      <c r="AW94" s="155">
        <f>AW90-AW93</f>
        <v>-326833.15651319234</v>
      </c>
      <c r="AX94" s="155">
        <f>AX90-AX93</f>
        <v>-311559.93249159609</v>
      </c>
      <c r="AY94" s="155">
        <f>AY90-AY93</f>
        <v>702253.53867369657</v>
      </c>
      <c r="AZ94" s="155">
        <f>AZ90-AZ93</f>
        <v>836727.33521035546</v>
      </c>
      <c r="BA94" s="155">
        <f>BA90-BA93</f>
        <v>947173.26360296551</v>
      </c>
      <c r="BB94" s="155">
        <f>BB90-BB93</f>
        <v>1049387.2993399799</v>
      </c>
      <c r="BC94" s="155">
        <f>BC90-BC93</f>
        <v>1138756.2432096126</v>
      </c>
      <c r="BD94" s="155">
        <f>BD90-BD93</f>
        <v>1211344.1001552423</v>
      </c>
      <c r="BE94" s="155">
        <f>BE90-BE93</f>
        <v>1268956.3566981396</v>
      </c>
      <c r="BF94" s="155">
        <f>BF90-BF93</f>
        <v>1310931.8771577301</v>
      </c>
      <c r="BG94" s="155">
        <f>BG90-BG93</f>
        <v>1338763.3739930529</v>
      </c>
      <c r="BH94" s="155">
        <f>BH90-BH93</f>
        <v>1352664.2173816049</v>
      </c>
      <c r="BI94" s="155">
        <f>BI90-BI93</f>
        <v>1355174.0890213537</v>
      </c>
      <c r="BJ94" s="155">
        <f>BJ90-BJ93</f>
        <v>1347859.7138742155</v>
      </c>
      <c r="BK94" s="155">
        <f>BK90-BK93</f>
        <v>4494557.8975022864</v>
      </c>
      <c r="BL94" s="155">
        <f>BL90-BL93</f>
        <v>4486310.7697650194</v>
      </c>
      <c r="BM94" s="155">
        <f>BM90-BM93</f>
        <v>4465710.3535978049</v>
      </c>
      <c r="BN94" s="155">
        <f>BN90-BN93</f>
        <v>4432987.4015201749</v>
      </c>
      <c r="BO94" s="155">
        <f>BO90-BO93</f>
        <v>4390722.7227555206</v>
      </c>
      <c r="BP94" s="155">
        <f>BP90-BP93</f>
        <v>4338932.7677099239</v>
      </c>
      <c r="BQ94" s="155">
        <f>BQ90-BQ93</f>
        <v>4280160.2304331604</v>
      </c>
      <c r="BR94" s="155">
        <f>BR90-BR93</f>
        <v>4216559.2155288961</v>
      </c>
    </row>
    <row r="95" spans="1:72" ht="15.75" customHeight="1"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7"/>
      <c r="N95" s="157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</row>
    <row r="96" spans="1:72" ht="15.75" customHeight="1">
      <c r="B96" s="180" t="s">
        <v>131</v>
      </c>
      <c r="C96" s="181">
        <f>SUM($C$94:C94)</f>
        <v>-40500</v>
      </c>
      <c r="D96" s="181">
        <f>SUM($C$94:D94)</f>
        <v>-91436.634458333327</v>
      </c>
      <c r="E96" s="181">
        <f>SUM($C$94:E94)</f>
        <v>-147440.15110881595</v>
      </c>
      <c r="F96" s="181">
        <f>SUM($C$94:F94)</f>
        <v>-211967.04326340379</v>
      </c>
      <c r="G96" s="181">
        <f>SUM($C$94:G94)</f>
        <v>-279872.50630715484</v>
      </c>
      <c r="H96" s="181">
        <f>SUM($C$94:H94)</f>
        <v>-354547.41792892618</v>
      </c>
      <c r="I96" s="181">
        <f>SUM($C$94:I94)</f>
        <v>-439387.55613204895</v>
      </c>
      <c r="J96" s="181">
        <f>SUM($C$94:J94)</f>
        <v>-532499.79166305484</v>
      </c>
      <c r="K96" s="181">
        <f>SUM($C$94:K94)</f>
        <v>-660835.75983292772</v>
      </c>
      <c r="L96" s="181">
        <f>SUM($C$94:L94)</f>
        <v>-799138.83853023523</v>
      </c>
      <c r="M96" s="181">
        <f>SUM($C$94:M94)</f>
        <v>-936115.57169791264</v>
      </c>
      <c r="N96" s="181">
        <f>SUM($C$94:N94)</f>
        <v>-1085516.5226509632</v>
      </c>
      <c r="O96" s="181">
        <f>SUM($C$94:O94)</f>
        <v>-1235064.0369291275</v>
      </c>
      <c r="P96" s="181">
        <f>SUM($C$94:P94)</f>
        <v>-1394952.2296290223</v>
      </c>
      <c r="Q96" s="181">
        <f>SUM($C$94:Q94)</f>
        <v>-1565335.9313906278</v>
      </c>
      <c r="R96" s="181">
        <f>SUM($C$94:R94)</f>
        <v>-1746384.6372595502</v>
      </c>
      <c r="S96" s="181">
        <f>SUM($C$94:S94)</f>
        <v>-1939283.8065579012</v>
      </c>
      <c r="T96" s="181">
        <f>SUM($C$94:T94)</f>
        <v>-2143236.2594866254</v>
      </c>
      <c r="U96" s="181">
        <f>SUM($C$94:U94)</f>
        <v>-2357463.6736983825</v>
      </c>
      <c r="V96" s="181">
        <f>SUM($C$94:V94)</f>
        <v>-2584208.1832253607</v>
      </c>
      <c r="W96" s="181">
        <f>SUM($C$94:W94)</f>
        <v>-2822734.0810115947</v>
      </c>
      <c r="X96" s="181">
        <f>SUM($C$94:X94)</f>
        <v>-3060544.7681005769</v>
      </c>
      <c r="Y96" s="181">
        <f>SUM($C$94:Y94)</f>
        <v>-3315398.8317456306</v>
      </c>
      <c r="Z96" s="181">
        <f>SUM($C$94:Z94)</f>
        <v>-3581512.0044639064</v>
      </c>
      <c r="AA96" s="181">
        <f>SUM($C$94:AA94)</f>
        <v>-3856058.7078045597</v>
      </c>
      <c r="AB96" s="181">
        <f>SUM($C$94:AB94)</f>
        <v>-4148134.5391682102</v>
      </c>
      <c r="AC96" s="181">
        <f>SUM($C$94:AC94)</f>
        <v>-4457491.7356450465</v>
      </c>
      <c r="AD96" s="181">
        <f>SUM($C$94:AD94)</f>
        <v>-4786018.670046051</v>
      </c>
      <c r="AE96" s="181">
        <f>SUM($C$94:AE94)</f>
        <v>-5134761.1491936566</v>
      </c>
      <c r="AF96" s="181">
        <f>SUM($C$94:AF94)</f>
        <v>-5506945.6172779808</v>
      </c>
      <c r="AG96" s="181">
        <f>SUM($C$94:AG94)</f>
        <v>-5859875.4871860743</v>
      </c>
      <c r="AH96" s="181">
        <f>SUM($C$94:AH94)</f>
        <v>-6232006.0418154541</v>
      </c>
      <c r="AI96" s="181">
        <f>SUM($C$94:AI94)</f>
        <v>-6623789.9753501425</v>
      </c>
      <c r="AJ96" s="181">
        <f>SUM($C$94:AJ94)</f>
        <v>-7037743.9376422158</v>
      </c>
      <c r="AK96" s="181">
        <f>SUM($C$94:AK94)</f>
        <v>-7480451.6799054723</v>
      </c>
      <c r="AL96" s="181">
        <f>SUM($C$94:AL94)</f>
        <v>-7948564.8487106245</v>
      </c>
      <c r="AM96" s="181">
        <f>SUM($C$94:AM94)</f>
        <v>-8289060.4260618109</v>
      </c>
      <c r="AN96" s="181">
        <f>SUM($C$94:AN94)</f>
        <v>-8637949.821317248</v>
      </c>
      <c r="AO96" s="181">
        <f>SUM($C$94:AO94)</f>
        <v>-8995047.9591511376</v>
      </c>
      <c r="AP96" s="181">
        <f>SUM($C$94:AP94)</f>
        <v>-9357026.4260225594</v>
      </c>
      <c r="AQ96" s="181">
        <f>SUM($C$94:AQ94)</f>
        <v>-9723507.4953989387</v>
      </c>
      <c r="AR96" s="181">
        <f>SUM($C$94:AR94)</f>
        <v>-10090187.811962625</v>
      </c>
      <c r="AS96" s="181">
        <f>SUM($C$94:AS94)</f>
        <v>-10453988.595237507</v>
      </c>
      <c r="AT96" s="181">
        <f>SUM($C$94:AT94)</f>
        <v>-10814224.024229545</v>
      </c>
      <c r="AU96" s="181">
        <f>SUM($C$94:AU94)</f>
        <v>-11165773.790763456</v>
      </c>
      <c r="AV96" s="181">
        <f>SUM($C$94:AV94)</f>
        <v>-11506240.980952609</v>
      </c>
      <c r="AW96" s="181">
        <f>SUM($C$94:AW94)</f>
        <v>-11833074.137465801</v>
      </c>
      <c r="AX96" s="181">
        <f>SUM($C$94:AX94)</f>
        <v>-12144634.069957398</v>
      </c>
      <c r="AY96" s="181">
        <f>SUM($C$94:AY94)</f>
        <v>-11442380.531283701</v>
      </c>
      <c r="AZ96" s="181">
        <f>SUM($C$94:AZ94)</f>
        <v>-10605653.196073346</v>
      </c>
      <c r="BA96" s="181">
        <f>SUM($C$94:BA94)</f>
        <v>-9658479.9324703813</v>
      </c>
      <c r="BB96" s="181">
        <f>SUM($C$94:BB94)</f>
        <v>-8609092.6331304014</v>
      </c>
      <c r="BC96" s="181">
        <f>SUM($C$94:BC94)</f>
        <v>-7470336.3899207888</v>
      </c>
      <c r="BD96" s="181">
        <f>SUM($C$94:BD94)</f>
        <v>-6258992.2897655461</v>
      </c>
      <c r="BE96" s="181">
        <f>SUM($C$94:BE94)</f>
        <v>-4990035.9330674065</v>
      </c>
      <c r="BF96" s="181">
        <f>SUM($C$94:BF94)</f>
        <v>-3679104.0559096765</v>
      </c>
      <c r="BG96" s="181">
        <f>SUM($C$94:BG94)</f>
        <v>-2340340.6819166234</v>
      </c>
      <c r="BH96" s="181">
        <f>SUM($C$94:BH94)</f>
        <v>-987676.46453501843</v>
      </c>
      <c r="BI96" s="181">
        <f>SUM($C$94:BI94)</f>
        <v>367497.62448633532</v>
      </c>
      <c r="BJ96" s="181">
        <f>SUM($C$94:BJ94)</f>
        <v>1715357.3383605508</v>
      </c>
      <c r="BK96" s="181">
        <f>SUM($C$94:BK94)</f>
        <v>6209915.2358628372</v>
      </c>
      <c r="BL96" s="181">
        <f>SUM($C$94:BL94)</f>
        <v>10696226.005627856</v>
      </c>
      <c r="BM96" s="181">
        <f>SUM($C$94:BM94)</f>
        <v>15161936.359225661</v>
      </c>
      <c r="BN96" s="181">
        <f>SUM($C$94:BN94)</f>
        <v>19594923.760745835</v>
      </c>
      <c r="BO96" s="181">
        <f>SUM($C$94:BO94)</f>
        <v>23985646.483501356</v>
      </c>
      <c r="BP96" s="181">
        <f>SUM($C$94:BP94)</f>
        <v>28324579.251211278</v>
      </c>
      <c r="BQ96" s="181">
        <f>SUM($C$94:BQ94)</f>
        <v>32604739.481644437</v>
      </c>
      <c r="BR96" s="181">
        <f>SUM($C$94:BR94)</f>
        <v>36821298.697173335</v>
      </c>
    </row>
    <row r="97" spans="2:8" ht="15.75" customHeight="1"/>
    <row r="98" spans="2:8" ht="15.75" customHeight="1"/>
    <row r="99" spans="2:8" ht="15.75" customHeight="1">
      <c r="B99" s="151" t="s">
        <v>185</v>
      </c>
      <c r="C99" s="148"/>
      <c r="D99" s="148"/>
      <c r="E99" s="148"/>
      <c r="F99" s="148"/>
      <c r="G99" s="148"/>
      <c r="H99" s="148"/>
    </row>
    <row r="100" spans="2:8" ht="15.75" customHeight="1">
      <c r="B100" s="153" t="s">
        <v>130</v>
      </c>
      <c r="C100" s="161">
        <v>2023</v>
      </c>
      <c r="D100" s="161">
        <v>2024</v>
      </c>
      <c r="E100" s="161">
        <v>2025</v>
      </c>
      <c r="F100" s="161">
        <v>2026</v>
      </c>
      <c r="G100" s="161">
        <v>2027</v>
      </c>
      <c r="H100" s="161">
        <v>2028</v>
      </c>
    </row>
    <row r="101" spans="2:8" ht="15.75" customHeight="1">
      <c r="B101" s="184" t="s">
        <v>129</v>
      </c>
      <c r="C101" s="185">
        <f>SUM(C69:J69)</f>
        <v>0</v>
      </c>
      <c r="D101" s="185">
        <f>SUM(K69:V69)</f>
        <v>33738.22422200696</v>
      </c>
      <c r="E101" s="185">
        <f>SUM(W69:AH69)</f>
        <v>387914.91227189457</v>
      </c>
      <c r="F101" s="185">
        <f>SUM(AI69:AT69)</f>
        <v>5413317.7344184201</v>
      </c>
      <c r="G101" s="185">
        <f>SUM(AU69:BF69)</f>
        <v>37628107.600063249</v>
      </c>
      <c r="H101" s="186">
        <f>SUM(BG69:BR69)</f>
        <v>102676348.66224745</v>
      </c>
    </row>
    <row r="102" spans="2:8" ht="15.75" customHeight="1">
      <c r="B102" s="187" t="s">
        <v>128</v>
      </c>
      <c r="C102" s="188">
        <f>C101</f>
        <v>0</v>
      </c>
      <c r="D102" s="188">
        <f>D101</f>
        <v>33738.22422200696</v>
      </c>
      <c r="E102" s="188">
        <f>E101</f>
        <v>387914.91227189457</v>
      </c>
      <c r="F102" s="188">
        <f>F101</f>
        <v>5413317.7344184201</v>
      </c>
      <c r="G102" s="188">
        <f>G101</f>
        <v>37628107.600063249</v>
      </c>
      <c r="H102" s="189">
        <f>H101</f>
        <v>102676348.66224745</v>
      </c>
    </row>
    <row r="103" spans="2:8" ht="15.75" customHeight="1">
      <c r="B103" s="190"/>
      <c r="C103" s="191"/>
      <c r="D103" s="191"/>
      <c r="E103" s="191"/>
      <c r="F103" s="191"/>
      <c r="G103" s="191"/>
      <c r="H103" s="192"/>
    </row>
    <row r="104" spans="2:8" ht="15.75" customHeight="1">
      <c r="B104" s="193" t="s">
        <v>127</v>
      </c>
      <c r="C104" s="191">
        <f>SUM(C73:J73)</f>
        <v>1541.2602274155697</v>
      </c>
      <c r="D104" s="191">
        <f>SUM(K73:V73)</f>
        <v>17315.709269437684</v>
      </c>
      <c r="E104" s="191">
        <f>SUM(W73:AH73)</f>
        <v>79059.255146749667</v>
      </c>
      <c r="F104" s="191">
        <f>SUM(AI73:AT73)</f>
        <v>540190.52863207436</v>
      </c>
      <c r="G104" s="191">
        <f>SUM(AU73:BF73)</f>
        <v>1886967.494496098</v>
      </c>
      <c r="H104" s="192">
        <f>SUM(BG73:BR73)</f>
        <v>2794325.1800170559</v>
      </c>
    </row>
    <row r="105" spans="2:8" ht="15.75" customHeight="1">
      <c r="B105" s="194" t="s">
        <v>126</v>
      </c>
      <c r="C105" s="182">
        <f>SUM(C74:J74)</f>
        <v>50003.421902305796</v>
      </c>
      <c r="D105" s="182">
        <f>SUM(K74:V74)</f>
        <v>260503.82318154213</v>
      </c>
      <c r="E105" s="182">
        <f>SUM(W74:AH74)</f>
        <v>647322.7865485705</v>
      </c>
      <c r="F105" s="182">
        <f>SUM(AI74:AT74)</f>
        <v>3028306.2559087686</v>
      </c>
      <c r="G105" s="182">
        <f>SUM(AU74:BF74)</f>
        <v>10935124.193200406</v>
      </c>
      <c r="H105" s="195">
        <f>SUM(BG74:BR74)</f>
        <v>16691531.576623656</v>
      </c>
    </row>
    <row r="106" spans="2:8" ht="15.75" customHeight="1">
      <c r="B106" s="196" t="s">
        <v>188</v>
      </c>
      <c r="C106" s="188">
        <f>SUM(C104:C105)</f>
        <v>51544.682129721368</v>
      </c>
      <c r="D106" s="188">
        <f>SUM(D104:D105)</f>
        <v>277819.53245097981</v>
      </c>
      <c r="E106" s="188">
        <f>SUM(E104:E105)</f>
        <v>726382.04169532016</v>
      </c>
      <c r="F106" s="188">
        <f>SUM(F104:F105)</f>
        <v>3568496.7845408432</v>
      </c>
      <c r="G106" s="188">
        <f>SUM(G104:G105)</f>
        <v>12822091.687696503</v>
      </c>
      <c r="H106" s="189">
        <f>SUM(H104:H105)</f>
        <v>19485856.75664071</v>
      </c>
    </row>
    <row r="107" spans="2:8" ht="15.75" customHeight="1">
      <c r="B107" s="190"/>
      <c r="C107" s="182"/>
      <c r="D107" s="182"/>
      <c r="E107" s="182"/>
      <c r="F107" s="182"/>
      <c r="G107" s="182"/>
      <c r="H107" s="195"/>
    </row>
    <row r="108" spans="2:8" ht="15.75" customHeight="1">
      <c r="B108" s="196" t="s">
        <v>125</v>
      </c>
      <c r="C108" s="188">
        <f>C102-C106</f>
        <v>-51544.682129721368</v>
      </c>
      <c r="D108" s="188">
        <f>D102-D106</f>
        <v>-244081.30822897283</v>
      </c>
      <c r="E108" s="188">
        <f>E102-E106</f>
        <v>-338467.12942342559</v>
      </c>
      <c r="F108" s="188">
        <f>F102-F106</f>
        <v>1844820.9498775769</v>
      </c>
      <c r="G108" s="188">
        <f>G102-G106</f>
        <v>24806015.912366748</v>
      </c>
      <c r="H108" s="189">
        <f>H102-H106</f>
        <v>83190491.905606747</v>
      </c>
    </row>
    <row r="109" spans="2:8" ht="15.75" customHeight="1">
      <c r="B109" s="193"/>
      <c r="C109" s="191"/>
      <c r="D109" s="191"/>
      <c r="E109" s="191"/>
      <c r="F109" s="191"/>
      <c r="G109" s="191"/>
      <c r="H109" s="192"/>
    </row>
    <row r="110" spans="2:8" ht="15.75" customHeight="1">
      <c r="B110" s="190" t="s">
        <v>189</v>
      </c>
      <c r="C110" s="191"/>
      <c r="D110" s="191"/>
      <c r="E110" s="191"/>
      <c r="F110" s="191"/>
      <c r="G110" s="191"/>
      <c r="H110" s="192"/>
    </row>
    <row r="111" spans="2:8" ht="15.75" customHeight="1">
      <c r="B111" s="197" t="s">
        <v>124</v>
      </c>
      <c r="C111" s="191">
        <f>SUM(C81:J81)</f>
        <v>51000</v>
      </c>
      <c r="D111" s="191">
        <f>SUM(K81:V81)</f>
        <v>78000</v>
      </c>
      <c r="E111" s="191">
        <f>SUM(W81:AH81)</f>
        <v>170000</v>
      </c>
      <c r="F111" s="191">
        <f>SUM(AI81:AT81)</f>
        <v>950000</v>
      </c>
      <c r="G111" s="191">
        <f>SUM(AU81:BF81)</f>
        <v>3426880.612015625</v>
      </c>
      <c r="H111" s="192">
        <f>SUM(BG81:BR81)</f>
        <v>6920671.5954058226</v>
      </c>
    </row>
    <row r="112" spans="2:8" ht="15.75" customHeight="1">
      <c r="B112" s="197" t="s">
        <v>123</v>
      </c>
      <c r="C112" s="191">
        <f>SUM(C82:J82)</f>
        <v>8000</v>
      </c>
      <c r="D112" s="191">
        <f>SUM(K82:V82)</f>
        <v>12000</v>
      </c>
      <c r="E112" s="191">
        <f>SUM(W82:AH82)</f>
        <v>38000</v>
      </c>
      <c r="F112" s="191">
        <f>SUM(AI82:AT82)</f>
        <v>440000</v>
      </c>
      <c r="G112" s="191">
        <f>SUM(AU82:BF82)</f>
        <v>3017000</v>
      </c>
      <c r="H112" s="192">
        <f>SUM(BG82:BR82)</f>
        <v>8219000</v>
      </c>
    </row>
    <row r="113" spans="2:10" ht="15.75" customHeight="1">
      <c r="B113" s="197" t="s">
        <v>122</v>
      </c>
      <c r="C113" s="191">
        <f>SUM(C83:J83)</f>
        <v>44000</v>
      </c>
      <c r="D113" s="191">
        <f>SUM(K83:V83)</f>
        <v>86000</v>
      </c>
      <c r="E113" s="191">
        <f>SUM(W83:AH83)</f>
        <v>136000</v>
      </c>
      <c r="F113" s="191">
        <f>SUM(AI83:AT83)</f>
        <v>188000</v>
      </c>
      <c r="G113" s="191">
        <f>SUM(AU83:BF83)</f>
        <v>244000</v>
      </c>
      <c r="H113" s="192">
        <f>SUM(BG83:BR83)</f>
        <v>320000</v>
      </c>
    </row>
    <row r="114" spans="2:10" ht="15.75" customHeight="1">
      <c r="B114" s="197" t="s">
        <v>121</v>
      </c>
      <c r="C114" s="191">
        <f>SUM(C84:J84)</f>
        <v>307083.33333333337</v>
      </c>
      <c r="D114" s="191">
        <f>SUM(K84:V84)</f>
        <v>1032020.8333333336</v>
      </c>
      <c r="E114" s="191">
        <f>SUM(W84:AH84)</f>
        <v>1914869.7916666672</v>
      </c>
      <c r="F114" s="191">
        <f>SUM(AI84:AT84)</f>
        <v>3100029.947916667</v>
      </c>
      <c r="G114" s="191">
        <f>SUM(AU84:BF84)</f>
        <v>5047704.1015625</v>
      </c>
      <c r="H114" s="192">
        <f>SUM(BG84:BR84)</f>
        <v>8326432.7362445332</v>
      </c>
    </row>
    <row r="115" spans="2:10" ht="15.75" customHeight="1">
      <c r="B115" s="197" t="s">
        <v>120</v>
      </c>
      <c r="C115" s="191">
        <f>SUM(C85:J85)</f>
        <v>0</v>
      </c>
      <c r="D115" s="191">
        <f>SUM(K85:V85)</f>
        <v>309606.25000000006</v>
      </c>
      <c r="E115" s="191">
        <f>SUM(W85:AH85)</f>
        <v>574460.93750000012</v>
      </c>
      <c r="F115" s="191">
        <f>SUM(AI85:AT85)</f>
        <v>930008.98437500012</v>
      </c>
      <c r="G115" s="191">
        <f>SUM(AU85:BF85)</f>
        <v>1514311.23046875</v>
      </c>
      <c r="H115" s="192">
        <f>SUM(BG85:BR85)</f>
        <v>2497929.8208733601</v>
      </c>
    </row>
    <row r="116" spans="2:10" ht="15.75" customHeight="1">
      <c r="B116" s="197" t="s">
        <v>119</v>
      </c>
      <c r="C116" s="191">
        <f>SUM(C86:J86)</f>
        <v>22871.7762</v>
      </c>
      <c r="D116" s="191">
        <f>SUM(K86:V86)</f>
        <v>120000</v>
      </c>
      <c r="E116" s="191">
        <f>SUM(W86:AH86)</f>
        <v>170000</v>
      </c>
      <c r="F116" s="191">
        <f>SUM(AI86:AT86)</f>
        <v>230000</v>
      </c>
      <c r="G116" s="191">
        <f>SUM(AU86:BF86)</f>
        <v>240000</v>
      </c>
      <c r="H116" s="192">
        <f>SUM(BG86:BR86)</f>
        <v>240055</v>
      </c>
    </row>
    <row r="117" spans="2:10" ht="15.75" customHeight="1">
      <c r="B117" s="197" t="s">
        <v>118</v>
      </c>
      <c r="C117" s="182">
        <f>SUM(C87:J87)</f>
        <v>48000</v>
      </c>
      <c r="D117" s="182">
        <f>SUM(K87:V87)</f>
        <v>170000</v>
      </c>
      <c r="E117" s="182">
        <f>SUM(W87:AH87)</f>
        <v>306000</v>
      </c>
      <c r="F117" s="182">
        <f>SUM(AI87:AT87)</f>
        <v>589000</v>
      </c>
      <c r="G117" s="182">
        <f>SUM(AU87:BF87)</f>
        <v>1353000</v>
      </c>
      <c r="H117" s="195">
        <f>SUM(BG87:BR87)</f>
        <v>2658000</v>
      </c>
    </row>
    <row r="118" spans="2:10" ht="15.75" customHeight="1">
      <c r="B118" s="198" t="s">
        <v>117</v>
      </c>
      <c r="C118" s="183">
        <f>SUM(C111:C117)</f>
        <v>480955.10953333339</v>
      </c>
      <c r="D118" s="183">
        <f>SUM(D111:D117)</f>
        <v>1807627.0833333335</v>
      </c>
      <c r="E118" s="183">
        <f>SUM(E111:E117)</f>
        <v>3309330.729166667</v>
      </c>
      <c r="F118" s="183">
        <f>SUM(F111:F117)</f>
        <v>6427038.932291667</v>
      </c>
      <c r="G118" s="183">
        <f>SUM(G111:G117)</f>
        <v>14842895.944046875</v>
      </c>
      <c r="H118" s="199">
        <f>SUM(H111:H117)</f>
        <v>29182089.152523715</v>
      </c>
    </row>
    <row r="119" spans="2:10" ht="15.75" customHeight="1">
      <c r="B119" s="196" t="s">
        <v>187</v>
      </c>
      <c r="C119" s="188">
        <f>C108-C118</f>
        <v>-532499.79166305473</v>
      </c>
      <c r="D119" s="188">
        <f>D108-D118</f>
        <v>-2051708.3915623063</v>
      </c>
      <c r="E119" s="188">
        <f>E108-E118</f>
        <v>-3647797.8585900925</v>
      </c>
      <c r="F119" s="188">
        <f>F108-F118</f>
        <v>-4582217.9824140901</v>
      </c>
      <c r="G119" s="188">
        <f>G108-G118</f>
        <v>9963119.9683198724</v>
      </c>
      <c r="H119" s="189">
        <f>H108-H118</f>
        <v>54008402.753083035</v>
      </c>
      <c r="J119" s="113"/>
    </row>
    <row r="120" spans="2:10" ht="15.75" customHeight="1">
      <c r="B120" s="190"/>
      <c r="C120" s="191"/>
      <c r="D120" s="191"/>
      <c r="E120" s="191"/>
      <c r="F120" s="191"/>
      <c r="G120" s="191"/>
      <c r="H120" s="192"/>
    </row>
    <row r="121" spans="2:10" ht="15.75" customHeight="1">
      <c r="B121" s="193" t="s">
        <v>116</v>
      </c>
      <c r="C121" s="182">
        <f>SUM(C93:J93)</f>
        <v>0</v>
      </c>
      <c r="D121" s="182">
        <f>SUM(K93:V93)</f>
        <v>0</v>
      </c>
      <c r="E121" s="182">
        <f>SUM(W93:AH93)</f>
        <v>0</v>
      </c>
      <c r="F121" s="182">
        <f>SUM(AI93:AT93)</f>
        <v>0</v>
      </c>
      <c r="G121" s="182">
        <f>SUM(AU93:BF93)</f>
        <v>2828000</v>
      </c>
      <c r="H121" s="195">
        <f>SUM(BG93:BR93)</f>
        <v>13508000</v>
      </c>
    </row>
    <row r="122" spans="2:10" ht="15.75" customHeight="1">
      <c r="B122" s="200" t="s">
        <v>186</v>
      </c>
      <c r="C122" s="201">
        <f>C119-C121</f>
        <v>-532499.79166305473</v>
      </c>
      <c r="D122" s="201">
        <f>D119-D121</f>
        <v>-2051708.3915623063</v>
      </c>
      <c r="E122" s="201">
        <f>E119-E121</f>
        <v>-3647797.8585900925</v>
      </c>
      <c r="F122" s="201">
        <f>F119-F121</f>
        <v>-4582217.9824140901</v>
      </c>
      <c r="G122" s="201">
        <f>G119-G121</f>
        <v>7135119.9683198724</v>
      </c>
      <c r="H122" s="202">
        <f>H119-H121</f>
        <v>40500402.753083035</v>
      </c>
    </row>
    <row r="123" spans="2:10" ht="15.75" customHeight="1"/>
    <row r="124" spans="2:10" ht="15.75" customHeight="1"/>
    <row r="125" spans="2:10" ht="15.75" customHeight="1"/>
    <row r="126" spans="2:10" ht="15.75" customHeight="1"/>
    <row r="127" spans="2:10" ht="15.75" customHeight="1"/>
    <row r="128" spans="2:10" ht="15.75" customHeight="1"/>
    <row r="129" s="112" customFormat="1" ht="15.75" customHeight="1"/>
    <row r="130" s="112" customFormat="1" ht="15.75" customHeight="1"/>
    <row r="131" s="112" customFormat="1" ht="15.75" customHeight="1"/>
    <row r="132" s="112" customFormat="1" ht="15.75" customHeight="1"/>
    <row r="133" s="112" customFormat="1" ht="15.75" customHeight="1"/>
    <row r="134" s="112" customFormat="1" ht="15.75" customHeight="1"/>
    <row r="135" s="112" customFormat="1" ht="15.75" customHeight="1"/>
    <row r="136" s="112" customFormat="1" ht="15.75" customHeight="1"/>
    <row r="137" s="112" customFormat="1" ht="15.75" customHeight="1"/>
    <row r="138" s="112" customFormat="1" ht="15.75" customHeight="1"/>
    <row r="139" s="112" customFormat="1" ht="15.75" customHeight="1"/>
    <row r="140" s="112" customFormat="1" ht="15.75" customHeight="1"/>
    <row r="141" s="112" customFormat="1" ht="15.75" customHeight="1"/>
    <row r="142" s="112" customFormat="1" ht="15.75" customHeight="1"/>
    <row r="143" s="112" customFormat="1" ht="15.75" customHeight="1"/>
    <row r="144" s="112" customFormat="1" ht="15.75" customHeight="1"/>
    <row r="145" s="112" customFormat="1" ht="15.75" customHeight="1"/>
    <row r="146" s="112" customFormat="1" ht="15.75" customHeight="1"/>
    <row r="147" s="112" customFormat="1" ht="15.75" customHeight="1"/>
    <row r="148" s="112" customFormat="1" ht="15.75" customHeight="1"/>
    <row r="149" s="112" customFormat="1" ht="15.75" customHeight="1"/>
    <row r="150" s="112" customFormat="1" ht="15.75" customHeight="1"/>
    <row r="151" s="112" customFormat="1" ht="15.75" customHeight="1"/>
    <row r="152" s="112" customFormat="1" ht="15.75" customHeight="1"/>
    <row r="153" s="112" customFormat="1" ht="15.75" customHeight="1"/>
    <row r="154" s="112" customFormat="1" ht="15.75" customHeight="1"/>
    <row r="155" s="112" customFormat="1" ht="15.75" customHeight="1"/>
    <row r="156" s="112" customFormat="1" ht="15.75" customHeight="1"/>
    <row r="157" s="112" customFormat="1" ht="15.75" customHeight="1"/>
    <row r="158" s="112" customFormat="1" ht="15.75" customHeight="1"/>
    <row r="159" s="112" customFormat="1" ht="15.75" customHeight="1"/>
    <row r="160" s="112" customFormat="1" ht="15.75" customHeight="1"/>
    <row r="161" s="112" customFormat="1" ht="15.75" customHeight="1"/>
    <row r="162" s="112" customFormat="1" ht="15.75" customHeight="1"/>
    <row r="163" s="112" customFormat="1" ht="15.75" customHeight="1"/>
    <row r="164" s="112" customFormat="1" ht="15.75" customHeight="1"/>
    <row r="165" s="112" customFormat="1" ht="15.75" customHeight="1"/>
    <row r="166" s="112" customFormat="1" ht="15.75" customHeight="1"/>
    <row r="167" s="112" customFormat="1" ht="15.75" customHeight="1"/>
    <row r="168" s="112" customFormat="1" ht="15.75" customHeight="1"/>
    <row r="169" s="112" customFormat="1" ht="15.75" customHeight="1"/>
    <row r="170" s="112" customFormat="1" ht="15.75" customHeight="1"/>
    <row r="171" s="112" customFormat="1" ht="15.75" customHeight="1"/>
    <row r="172" s="112" customFormat="1" ht="15.75" customHeight="1"/>
    <row r="173" s="112" customFormat="1" ht="15.75" customHeight="1"/>
    <row r="174" s="112" customFormat="1" ht="15.75" customHeight="1"/>
    <row r="175" s="112" customFormat="1" ht="15.75" customHeight="1"/>
    <row r="176" s="112" customFormat="1" ht="15.75" customHeight="1"/>
    <row r="177" s="112" customFormat="1" ht="15.75" customHeight="1"/>
    <row r="178" s="112" customFormat="1" ht="15.75" customHeight="1"/>
    <row r="179" s="112" customFormat="1" ht="15.75" customHeight="1"/>
    <row r="180" s="112" customFormat="1" ht="15.75" customHeight="1"/>
    <row r="181" s="112" customFormat="1" ht="15.75" customHeight="1"/>
    <row r="182" s="112" customFormat="1" ht="15.75" customHeight="1"/>
    <row r="183" s="112" customFormat="1" ht="15.75" customHeight="1"/>
    <row r="184" s="112" customFormat="1" ht="15.75" customHeight="1"/>
    <row r="185" s="112" customFormat="1" ht="15.75" customHeight="1"/>
    <row r="186" s="112" customFormat="1" ht="15.75" customHeight="1"/>
    <row r="187" s="112" customFormat="1" ht="15.75" customHeight="1"/>
    <row r="188" s="112" customFormat="1" ht="15.75" customHeight="1"/>
    <row r="189" s="112" customFormat="1" ht="15.75" customHeight="1"/>
    <row r="190" s="112" customFormat="1" ht="15.75" customHeight="1"/>
    <row r="191" s="112" customFormat="1" ht="15.75" customHeight="1"/>
    <row r="192" s="112" customFormat="1" ht="15.75" customHeight="1"/>
    <row r="193" s="112" customFormat="1" ht="15.75" customHeight="1"/>
    <row r="194" s="112" customFormat="1" ht="15.75" customHeight="1"/>
    <row r="195" s="112" customFormat="1" ht="15.75" customHeight="1"/>
    <row r="196" s="112" customFormat="1" ht="15.75" customHeight="1"/>
    <row r="197" s="112" customFormat="1" ht="15.75" customHeight="1"/>
    <row r="198" s="112" customFormat="1" ht="15.75" customHeight="1"/>
    <row r="199" s="112" customFormat="1" ht="15.75" customHeight="1"/>
    <row r="200" s="112" customFormat="1" ht="15.75" customHeight="1"/>
    <row r="201" s="112" customFormat="1" ht="15.75" customHeight="1"/>
    <row r="202" s="112" customFormat="1" ht="15.75" customHeight="1"/>
    <row r="203" s="112" customFormat="1" ht="15.75" customHeight="1"/>
    <row r="204" s="112" customFormat="1" ht="15.75" customHeight="1"/>
    <row r="205" s="112" customFormat="1" ht="15.75" customHeight="1"/>
    <row r="206" s="112" customFormat="1" ht="15.75" customHeight="1"/>
    <row r="207" s="112" customFormat="1" ht="15.75" customHeight="1"/>
    <row r="208" s="112" customFormat="1" ht="15.75" customHeight="1"/>
    <row r="209" s="112" customFormat="1" ht="15.75" customHeight="1"/>
    <row r="210" s="112" customFormat="1" ht="15.75" customHeight="1"/>
    <row r="211" s="112" customFormat="1" ht="15.75" customHeight="1"/>
    <row r="212" s="112" customFormat="1" ht="15.75" customHeight="1"/>
    <row r="213" s="112" customFormat="1" ht="15.75" customHeight="1"/>
    <row r="214" s="112" customFormat="1" ht="15.75" customHeight="1"/>
    <row r="215" s="112" customFormat="1" ht="15.75" customHeight="1"/>
    <row r="216" s="112" customFormat="1" ht="15.75" customHeight="1"/>
    <row r="217" s="112" customFormat="1" ht="15.75" customHeight="1"/>
    <row r="218" s="112" customFormat="1" ht="15.75" customHeight="1"/>
    <row r="219" s="112" customFormat="1" ht="15.75" customHeight="1"/>
    <row r="220" s="112" customFormat="1" ht="15.75" customHeight="1"/>
    <row r="221" s="112" customFormat="1" ht="15.75" customHeight="1"/>
    <row r="222" s="112" customFormat="1" ht="15.75" customHeight="1"/>
    <row r="223" s="112" customFormat="1" ht="15.75" customHeight="1"/>
    <row r="224" s="112" customFormat="1" ht="15.75" customHeight="1"/>
    <row r="225" s="112" customFormat="1" ht="15.75" customHeight="1"/>
    <row r="226" s="112" customFormat="1" ht="15.75" customHeight="1"/>
    <row r="227" s="112" customFormat="1" ht="15.75" customHeight="1"/>
    <row r="228" s="112" customFormat="1" ht="15.75" customHeight="1"/>
    <row r="229" s="112" customFormat="1" ht="15.75" customHeight="1"/>
    <row r="230" s="112" customFormat="1" ht="15.75" customHeight="1"/>
    <row r="231" s="112" customFormat="1" ht="15.75" customHeight="1"/>
    <row r="232" s="112" customFormat="1" ht="15.75" customHeight="1"/>
    <row r="233" s="112" customFormat="1" ht="15.75" customHeight="1"/>
    <row r="234" s="112" customFormat="1" ht="15.75" customHeight="1"/>
    <row r="235" s="112" customFormat="1" ht="15.75" customHeight="1"/>
    <row r="236" s="112" customFormat="1" ht="15.75" customHeight="1"/>
    <row r="237" s="112" customFormat="1" ht="15.75" customHeight="1"/>
    <row r="238" s="112" customFormat="1" ht="15.75" customHeight="1"/>
    <row r="239" s="112" customFormat="1" ht="15.75" customHeight="1"/>
    <row r="240" s="112" customFormat="1" ht="15.75" customHeight="1"/>
    <row r="241" s="112" customFormat="1" ht="15.75" customHeight="1"/>
    <row r="242" s="112" customFormat="1" ht="15.75" customHeight="1"/>
    <row r="243" s="112" customFormat="1" ht="15.75" customHeight="1"/>
    <row r="244" s="112" customFormat="1" ht="15.75" customHeight="1"/>
    <row r="245" s="112" customFormat="1" ht="15.75" customHeight="1"/>
    <row r="246" s="112" customFormat="1" ht="15.75" customHeight="1"/>
    <row r="247" s="112" customFormat="1" ht="15.75" customHeight="1"/>
    <row r="248" s="112" customFormat="1" ht="15.75" customHeight="1"/>
    <row r="249" s="112" customFormat="1" ht="15.75" customHeight="1"/>
    <row r="250" s="112" customFormat="1" ht="15.75" customHeight="1"/>
    <row r="251" s="112" customFormat="1" ht="15.75" customHeight="1"/>
    <row r="252" s="112" customFormat="1" ht="15.75" customHeight="1"/>
    <row r="253" s="112" customFormat="1" ht="15.75" customHeight="1"/>
    <row r="254" s="112" customFormat="1" ht="15.75" customHeight="1"/>
    <row r="255" s="112" customFormat="1" ht="15.75" customHeight="1"/>
    <row r="256" s="112" customFormat="1" ht="15.75" customHeight="1"/>
    <row r="257" s="112" customFormat="1" ht="15.75" customHeight="1"/>
    <row r="258" s="112" customFormat="1" ht="15.75" customHeight="1"/>
    <row r="259" s="112" customFormat="1" ht="15.75" customHeight="1"/>
    <row r="260" s="112" customFormat="1" ht="15.75" customHeight="1"/>
    <row r="261" s="112" customFormat="1" ht="15.75" customHeight="1"/>
    <row r="262" s="112" customFormat="1" ht="15.75" customHeight="1"/>
    <row r="263" s="112" customFormat="1" ht="15.75" customHeight="1"/>
    <row r="264" s="112" customFormat="1" ht="15.75" customHeight="1"/>
    <row r="265" s="112" customFormat="1" ht="15.75" customHeight="1"/>
    <row r="266" s="112" customFormat="1" ht="15.75" customHeight="1"/>
    <row r="267" s="112" customFormat="1" ht="15.75" customHeight="1"/>
    <row r="268" s="112" customFormat="1" ht="15.75" customHeight="1"/>
    <row r="269" s="112" customFormat="1" ht="15.75" customHeight="1"/>
    <row r="270" s="112" customFormat="1" ht="15.75" customHeight="1"/>
    <row r="271" s="112" customFormat="1" ht="15.75" customHeight="1"/>
    <row r="272" s="112" customFormat="1" ht="15.75" customHeight="1"/>
    <row r="273" s="112" customFormat="1" ht="15.75" customHeight="1"/>
    <row r="274" s="112" customFormat="1" ht="15.75" customHeight="1"/>
    <row r="275" s="112" customFormat="1" ht="15.75" customHeight="1"/>
    <row r="276" s="112" customFormat="1" ht="15.75" customHeight="1"/>
    <row r="277" s="112" customFormat="1" ht="15.75" customHeight="1"/>
    <row r="278" s="112" customFormat="1" ht="15.75" customHeight="1"/>
    <row r="279" s="112" customFormat="1" ht="15.75" customHeight="1"/>
    <row r="280" s="112" customFormat="1" ht="15.75" customHeight="1"/>
    <row r="281" s="112" customFormat="1" ht="15.75" customHeight="1"/>
    <row r="282" s="112" customFormat="1" ht="15.75" customHeight="1"/>
    <row r="283" s="112" customFormat="1" ht="15.75" customHeight="1"/>
    <row r="284" s="112" customFormat="1" ht="15.75" customHeight="1"/>
    <row r="285" s="112" customFormat="1" ht="15.75" customHeight="1"/>
    <row r="286" s="112" customFormat="1" ht="15.75" customHeight="1"/>
    <row r="287" s="112" customFormat="1" ht="15.75" customHeight="1"/>
    <row r="288" s="112" customFormat="1" ht="15.75" customHeight="1"/>
    <row r="289" s="112" customFormat="1" ht="15.75" customHeight="1"/>
    <row r="290" s="112" customFormat="1" ht="15.75" customHeight="1"/>
    <row r="291" s="112" customFormat="1" ht="15.75" customHeight="1"/>
    <row r="292" s="112" customFormat="1" ht="15.75" customHeight="1"/>
    <row r="293" s="112" customFormat="1" ht="15.75" customHeight="1"/>
    <row r="294" s="112" customFormat="1" ht="15.75" customHeight="1"/>
    <row r="295" s="112" customFormat="1" ht="15.75" customHeight="1"/>
    <row r="296" s="112" customFormat="1" ht="15.75" customHeight="1"/>
    <row r="297" s="112" customFormat="1" ht="15.75" customHeight="1"/>
    <row r="298" s="112" customFormat="1" ht="15.75" customHeight="1"/>
    <row r="299" s="112" customFormat="1" ht="15.75" customHeight="1"/>
    <row r="300" s="112" customFormat="1" ht="15.75" customHeight="1"/>
    <row r="301" s="112" customFormat="1" ht="15.75" customHeight="1"/>
    <row r="302" s="112" customFormat="1" ht="15.75" customHeight="1"/>
    <row r="303" s="112" customFormat="1" ht="15.75" customHeight="1"/>
    <row r="304" s="112" customFormat="1" ht="15.75" customHeight="1"/>
    <row r="305" s="112" customFormat="1" ht="15.75" customHeight="1"/>
    <row r="306" s="112" customFormat="1" ht="15.75" customHeight="1"/>
    <row r="307" s="112" customFormat="1" ht="15.75" customHeight="1"/>
    <row r="308" s="112" customFormat="1" ht="15.75" customHeight="1"/>
    <row r="309" s="112" customFormat="1" ht="15.75" customHeight="1"/>
    <row r="310" s="112" customFormat="1" ht="15.75" customHeight="1"/>
    <row r="311" s="112" customFormat="1" ht="15.75" customHeight="1"/>
    <row r="312" s="112" customFormat="1" ht="15.75" customHeight="1"/>
    <row r="313" s="112" customFormat="1" ht="15.75" customHeight="1"/>
    <row r="314" s="112" customFormat="1" ht="15.75" customHeight="1"/>
    <row r="315" s="112" customFormat="1" ht="15.75" customHeight="1"/>
    <row r="316" s="112" customFormat="1" ht="15.75" customHeight="1"/>
    <row r="317" s="112" customFormat="1" ht="15.75" customHeight="1"/>
    <row r="318" s="112" customFormat="1" ht="15.75" customHeight="1"/>
    <row r="319" s="112" customFormat="1" ht="15.75" customHeight="1"/>
    <row r="320" s="112" customFormat="1" ht="15.75" customHeight="1"/>
    <row r="321" s="112" customFormat="1" ht="15.75" customHeight="1"/>
    <row r="322" s="112" customFormat="1" ht="15.75" customHeight="1"/>
    <row r="323" s="112" customFormat="1" ht="15.75" customHeight="1"/>
    <row r="324" s="112" customFormat="1" ht="15.75" customHeight="1"/>
    <row r="325" s="112" customFormat="1" ht="15.75" customHeight="1"/>
    <row r="326" s="112" customFormat="1" ht="15.75" customHeight="1"/>
    <row r="327" s="112" customFormat="1" ht="15.75" customHeight="1"/>
    <row r="328" s="112" customFormat="1" ht="15.75" customHeight="1"/>
    <row r="329" s="112" customFormat="1" ht="15.75" customHeight="1"/>
    <row r="330" s="112" customFormat="1" ht="15.75" customHeight="1"/>
    <row r="331" s="112" customFormat="1" ht="15.75" customHeight="1"/>
    <row r="332" s="112" customFormat="1" ht="15.75" customHeight="1"/>
    <row r="333" s="112" customFormat="1" ht="15.75" customHeight="1"/>
    <row r="334" s="112" customFormat="1" ht="15.75" customHeight="1"/>
    <row r="335" s="112" customFormat="1" ht="15.75" customHeight="1"/>
    <row r="336" s="112" customFormat="1" ht="15.75" customHeight="1"/>
    <row r="337" s="112" customFormat="1" ht="15.75" customHeight="1"/>
    <row r="338" s="112" customFormat="1" ht="15.75" customHeight="1"/>
    <row r="339" s="112" customFormat="1" ht="15.75" customHeight="1"/>
    <row r="340" s="112" customFormat="1" ht="15.75" customHeight="1"/>
    <row r="341" s="112" customFormat="1" ht="15.75" customHeight="1"/>
    <row r="342" s="112" customFormat="1" ht="15.75" customHeight="1"/>
    <row r="343" s="112" customFormat="1" ht="15.75" customHeight="1"/>
    <row r="344" s="112" customFormat="1" ht="15.75" customHeight="1"/>
    <row r="345" s="112" customFormat="1" ht="15.75" customHeight="1"/>
    <row r="346" s="112" customFormat="1" ht="15.75" customHeight="1"/>
    <row r="347" s="112" customFormat="1" ht="15.75" customHeight="1"/>
    <row r="348" s="112" customFormat="1" ht="15.75" customHeight="1"/>
    <row r="349" s="112" customFormat="1" ht="15.75" customHeight="1"/>
    <row r="350" s="112" customFormat="1" ht="15.75" customHeight="1"/>
    <row r="351" s="112" customFormat="1" ht="15.75" customHeight="1"/>
    <row r="352" s="112" customFormat="1" ht="15.75" customHeight="1"/>
    <row r="353" s="112" customFormat="1" ht="15.75" customHeight="1"/>
    <row r="354" s="112" customFormat="1" ht="15.75" customHeight="1"/>
    <row r="355" s="112" customFormat="1" ht="15.75" customHeight="1"/>
    <row r="356" s="112" customFormat="1" ht="15.75" customHeight="1"/>
    <row r="357" s="112" customFormat="1" ht="15.75" customHeight="1"/>
    <row r="358" s="112" customFormat="1" ht="15.75" customHeight="1"/>
    <row r="359" s="112" customFormat="1" ht="15.75" customHeight="1"/>
    <row r="360" s="112" customFormat="1" ht="15.75" customHeight="1"/>
    <row r="361" s="112" customFormat="1" ht="15.75" customHeight="1"/>
    <row r="362" s="112" customFormat="1" ht="15.75" customHeight="1"/>
    <row r="363" s="112" customFormat="1" ht="15.75" customHeight="1"/>
    <row r="364" s="112" customFormat="1" ht="15.75" customHeight="1"/>
    <row r="365" s="112" customFormat="1" ht="15.75" customHeight="1"/>
    <row r="366" s="112" customFormat="1" ht="15.75" customHeight="1"/>
    <row r="367" s="112" customFormat="1" ht="15.75" customHeight="1"/>
    <row r="368" s="112" customFormat="1" ht="15.75" customHeight="1"/>
    <row r="369" s="112" customFormat="1" ht="15.75" customHeight="1"/>
    <row r="370" s="112" customFormat="1" ht="15.75" customHeight="1"/>
    <row r="371" s="112" customFormat="1" ht="15.75" customHeight="1"/>
    <row r="372" s="112" customFormat="1" ht="15.75" customHeight="1"/>
    <row r="373" s="112" customFormat="1" ht="15.75" customHeight="1"/>
    <row r="374" s="112" customFormat="1" ht="15.75" customHeight="1"/>
    <row r="375" s="112" customFormat="1" ht="15.75" customHeight="1"/>
    <row r="376" s="112" customFormat="1" ht="15.75" customHeight="1"/>
    <row r="377" s="112" customFormat="1" ht="15.75" customHeight="1"/>
    <row r="378" s="112" customFormat="1" ht="15.75" customHeight="1"/>
    <row r="379" s="112" customFormat="1" ht="15.75" customHeight="1"/>
    <row r="380" s="112" customFormat="1" ht="15.75" customHeight="1"/>
    <row r="381" s="112" customFormat="1" ht="15.75" customHeight="1"/>
    <row r="382" s="112" customFormat="1" ht="15.75" customHeight="1"/>
    <row r="383" s="112" customFormat="1" ht="15.75" customHeight="1"/>
    <row r="384" s="112" customFormat="1" ht="15.75" customHeight="1"/>
    <row r="385" s="112" customFormat="1" ht="15.75" customHeight="1"/>
    <row r="386" s="112" customFormat="1" ht="15.75" customHeight="1"/>
    <row r="387" s="112" customFormat="1" ht="15.75" customHeight="1"/>
    <row r="388" s="112" customFormat="1" ht="15.75" customHeight="1"/>
    <row r="389" s="112" customFormat="1" ht="15.75" customHeight="1"/>
    <row r="390" s="112" customFormat="1" ht="15.75" customHeight="1"/>
    <row r="391" s="112" customFormat="1" ht="15.75" customHeight="1"/>
    <row r="392" s="112" customFormat="1" ht="15.75" customHeight="1"/>
    <row r="393" s="112" customFormat="1" ht="15.75" customHeight="1"/>
    <row r="394" s="112" customFormat="1" ht="15.75" customHeight="1"/>
    <row r="395" s="112" customFormat="1" ht="15.75" customHeight="1"/>
    <row r="396" s="112" customFormat="1" ht="15.75" customHeight="1"/>
    <row r="397" s="112" customFormat="1" ht="15.75" customHeight="1"/>
    <row r="398" s="112" customFormat="1" ht="15.75" customHeight="1"/>
    <row r="399" s="112" customFormat="1" ht="15.75" customHeight="1"/>
    <row r="400" s="112" customFormat="1" ht="15.75" customHeight="1"/>
    <row r="401" s="112" customFormat="1" ht="15.75" customHeight="1"/>
    <row r="402" s="112" customFormat="1" ht="15.75" customHeight="1"/>
    <row r="403" s="112" customFormat="1" ht="15.75" customHeight="1"/>
    <row r="404" s="112" customFormat="1" ht="15.75" customHeight="1"/>
    <row r="405" s="112" customFormat="1" ht="15.75" customHeight="1"/>
    <row r="406" s="112" customFormat="1" ht="15.75" customHeight="1"/>
    <row r="407" s="112" customFormat="1" ht="15.75" customHeight="1"/>
    <row r="408" s="112" customFormat="1" ht="15.75" customHeight="1"/>
    <row r="409" s="112" customFormat="1" ht="15.75" customHeight="1"/>
    <row r="410" s="112" customFormat="1" ht="15.75" customHeight="1"/>
    <row r="411" s="112" customFormat="1" ht="15.75" customHeight="1"/>
    <row r="412" s="112" customFormat="1" ht="15.75" customHeight="1"/>
    <row r="413" s="112" customFormat="1" ht="15.75" customHeight="1"/>
    <row r="414" s="112" customFormat="1" ht="15.75" customHeight="1"/>
    <row r="415" s="112" customFormat="1" ht="15.75" customHeight="1"/>
    <row r="416" s="112" customFormat="1" ht="15.75" customHeight="1"/>
    <row r="417" s="112" customFormat="1" ht="15.75" customHeight="1"/>
    <row r="418" s="112" customFormat="1" ht="15.75" customHeight="1"/>
    <row r="419" s="112" customFormat="1" ht="15.75" customHeight="1"/>
    <row r="420" s="112" customFormat="1" ht="15.75" customHeight="1"/>
    <row r="421" s="112" customFormat="1" ht="15.75" customHeight="1"/>
    <row r="422" s="112" customFormat="1" ht="15.75" customHeight="1"/>
    <row r="423" s="112" customFormat="1" ht="15.75" customHeight="1"/>
    <row r="424" s="112" customFormat="1" ht="15.75" customHeight="1"/>
    <row r="425" s="112" customFormat="1" ht="15.75" customHeight="1"/>
    <row r="426" s="112" customFormat="1" ht="15.75" customHeight="1"/>
    <row r="427" s="112" customFormat="1" ht="15.75" customHeight="1"/>
    <row r="428" s="112" customFormat="1" ht="15.75" customHeight="1"/>
    <row r="429" s="112" customFormat="1" ht="15.75" customHeight="1"/>
    <row r="430" s="112" customFormat="1" ht="15.75" customHeight="1"/>
    <row r="431" s="112" customFormat="1" ht="15.75" customHeight="1"/>
    <row r="432" s="112" customFormat="1" ht="15.75" customHeight="1"/>
    <row r="433" s="112" customFormat="1" ht="15.75" customHeight="1"/>
    <row r="434" s="112" customFormat="1" ht="15.75" customHeight="1"/>
    <row r="435" s="112" customFormat="1" ht="15.75" customHeight="1"/>
    <row r="436" s="112" customFormat="1" ht="15.75" customHeight="1"/>
    <row r="437" s="112" customFormat="1" ht="15.75" customHeight="1"/>
    <row r="438" s="112" customFormat="1" ht="15.75" customHeight="1"/>
    <row r="439" s="112" customFormat="1" ht="15.75" customHeight="1"/>
    <row r="440" s="112" customFormat="1" ht="15.75" customHeight="1"/>
    <row r="441" s="112" customFormat="1" ht="15.75" customHeight="1"/>
    <row r="442" s="112" customFormat="1" ht="15.75" customHeight="1"/>
    <row r="443" s="112" customFormat="1" ht="15.75" customHeight="1"/>
    <row r="444" s="112" customFormat="1" ht="15.75" customHeight="1"/>
    <row r="445" s="112" customFormat="1" ht="15.75" customHeight="1"/>
    <row r="446" s="112" customFormat="1" ht="15.75" customHeight="1"/>
    <row r="447" s="112" customFormat="1" ht="15.75" customHeight="1"/>
    <row r="448" s="112" customFormat="1" ht="15.75" customHeight="1"/>
    <row r="449" s="112" customFormat="1" ht="15.75" customHeight="1"/>
    <row r="450" s="112" customFormat="1" ht="15.75" customHeight="1"/>
    <row r="451" s="112" customFormat="1" ht="15.75" customHeight="1"/>
    <row r="452" s="112" customFormat="1" ht="15.75" customHeight="1"/>
    <row r="453" s="112" customFormat="1" ht="15.75" customHeight="1"/>
    <row r="454" s="112" customFormat="1" ht="15.75" customHeight="1"/>
    <row r="455" s="112" customFormat="1" ht="15.75" customHeight="1"/>
    <row r="456" s="112" customFormat="1" ht="15.75" customHeight="1"/>
    <row r="457" s="112" customFormat="1" ht="15.75" customHeight="1"/>
    <row r="458" s="112" customFormat="1" ht="15.75" customHeight="1"/>
    <row r="459" s="112" customFormat="1" ht="15.75" customHeight="1"/>
    <row r="460" s="112" customFormat="1" ht="15.75" customHeight="1"/>
    <row r="461" s="112" customFormat="1" ht="15.75" customHeight="1"/>
    <row r="462" s="112" customFormat="1" ht="15.75" customHeight="1"/>
    <row r="463" s="112" customFormat="1" ht="15.75" customHeight="1"/>
    <row r="464" s="112" customFormat="1" ht="15.75" customHeight="1"/>
    <row r="465" s="112" customFormat="1" ht="15.75" customHeight="1"/>
    <row r="466" s="112" customFormat="1" ht="15.75" customHeight="1"/>
    <row r="467" s="112" customFormat="1" ht="15.75" customHeight="1"/>
    <row r="468" s="112" customFormat="1" ht="15.75" customHeight="1"/>
    <row r="469" s="112" customFormat="1" ht="15.75" customHeight="1"/>
    <row r="470" s="112" customFormat="1" ht="15.75" customHeight="1"/>
    <row r="471" s="112" customFormat="1" ht="15.75" customHeight="1"/>
    <row r="472" s="112" customFormat="1" ht="15.75" customHeight="1"/>
    <row r="473" s="112" customFormat="1" ht="15.75" customHeight="1"/>
    <row r="474" s="112" customFormat="1" ht="15.75" customHeight="1"/>
    <row r="475" s="112" customFormat="1" ht="15.75" customHeight="1"/>
    <row r="476" s="112" customFormat="1" ht="15.75" customHeight="1"/>
    <row r="477" s="112" customFormat="1" ht="15.75" customHeight="1"/>
    <row r="478" s="112" customFormat="1" ht="15.75" customHeight="1"/>
    <row r="479" s="112" customFormat="1" ht="15.75" customHeight="1"/>
    <row r="480" s="112" customFormat="1" ht="15.75" customHeight="1"/>
    <row r="481" s="112" customFormat="1" ht="15.75" customHeight="1"/>
    <row r="482" s="112" customFormat="1" ht="15.75" customHeight="1"/>
    <row r="483" s="112" customFormat="1" ht="15.75" customHeight="1"/>
    <row r="484" s="112" customFormat="1" ht="15.75" customHeight="1"/>
    <row r="485" s="112" customFormat="1" ht="15.75" customHeight="1"/>
    <row r="486" s="112" customFormat="1" ht="15.75" customHeight="1"/>
    <row r="487" s="112" customFormat="1" ht="15.75" customHeight="1"/>
    <row r="488" s="112" customFormat="1" ht="15.75" customHeight="1"/>
    <row r="489" s="112" customFormat="1" ht="15.75" customHeight="1"/>
    <row r="490" s="112" customFormat="1" ht="15.75" customHeight="1"/>
    <row r="491" s="112" customFormat="1" ht="15.75" customHeight="1"/>
    <row r="492" s="112" customFormat="1" ht="15.75" customHeight="1"/>
    <row r="493" s="112" customFormat="1" ht="15.75" customHeight="1"/>
    <row r="494" s="112" customFormat="1" ht="15.75" customHeight="1"/>
    <row r="495" s="112" customFormat="1" ht="15.75" customHeight="1"/>
    <row r="496" s="112" customFormat="1" ht="15.75" customHeight="1"/>
    <row r="497" s="112" customFormat="1" ht="15.75" customHeight="1"/>
    <row r="498" s="112" customFormat="1" ht="15.75" customHeight="1"/>
    <row r="499" s="112" customFormat="1" ht="15.75" customHeight="1"/>
    <row r="500" s="112" customFormat="1" ht="15.75" customHeight="1"/>
    <row r="501" s="112" customFormat="1" ht="15.75" customHeight="1"/>
    <row r="502" s="112" customFormat="1" ht="15.75" customHeight="1"/>
    <row r="503" s="112" customFormat="1" ht="15.75" customHeight="1"/>
    <row r="504" s="112" customFormat="1" ht="15.75" customHeight="1"/>
    <row r="505" s="112" customFormat="1" ht="15.75" customHeight="1"/>
    <row r="506" s="112" customFormat="1" ht="15.75" customHeight="1"/>
    <row r="507" s="112" customFormat="1" ht="15.75" customHeight="1"/>
    <row r="508" s="112" customFormat="1" ht="15.75" customHeight="1"/>
    <row r="509" s="112" customFormat="1" ht="15.75" customHeight="1"/>
    <row r="510" s="112" customFormat="1" ht="15.75" customHeight="1"/>
    <row r="511" s="112" customFormat="1" ht="15.75" customHeight="1"/>
    <row r="512" s="112" customFormat="1" ht="15.75" customHeight="1"/>
    <row r="513" s="112" customFormat="1" ht="15.75" customHeight="1"/>
    <row r="514" s="112" customFormat="1" ht="15.75" customHeight="1"/>
    <row r="515" s="112" customFormat="1" ht="15.75" customHeight="1"/>
    <row r="516" s="112" customFormat="1" ht="15.75" customHeight="1"/>
    <row r="517" s="112" customFormat="1" ht="15.75" customHeight="1"/>
    <row r="518" s="112" customFormat="1" ht="15.75" customHeight="1"/>
    <row r="519" s="112" customFormat="1" ht="15.75" customHeight="1"/>
    <row r="520" s="112" customFormat="1" ht="15.75" customHeight="1"/>
    <row r="521" s="112" customFormat="1" ht="15.75" customHeight="1"/>
    <row r="522" s="112" customFormat="1" ht="15.75" customHeight="1"/>
    <row r="523" s="112" customFormat="1" ht="15.75" customHeight="1"/>
    <row r="524" s="112" customFormat="1" ht="15.75" customHeight="1"/>
    <row r="525" s="112" customFormat="1" ht="15.75" customHeight="1"/>
    <row r="526" s="112" customFormat="1" ht="15.75" customHeight="1"/>
    <row r="527" s="112" customFormat="1" ht="15.75" customHeight="1"/>
    <row r="528" s="112" customFormat="1" ht="15.75" customHeight="1"/>
    <row r="529" s="112" customFormat="1" ht="15.75" customHeight="1"/>
    <row r="530" s="112" customFormat="1" ht="15.75" customHeight="1"/>
    <row r="531" s="112" customFormat="1" ht="15.75" customHeight="1"/>
    <row r="532" s="112" customFormat="1" ht="15.75" customHeight="1"/>
    <row r="533" s="112" customFormat="1" ht="15.75" customHeight="1"/>
    <row r="534" s="112" customFormat="1" ht="15.75" customHeight="1"/>
    <row r="535" s="112" customFormat="1" ht="15.75" customHeight="1"/>
    <row r="536" s="112" customFormat="1" ht="15.75" customHeight="1"/>
    <row r="537" s="112" customFormat="1" ht="15.75" customHeight="1"/>
    <row r="538" s="112" customFormat="1" ht="15.75" customHeight="1"/>
    <row r="539" s="112" customFormat="1" ht="15.75" customHeight="1"/>
    <row r="540" s="112" customFormat="1" ht="15.75" customHeight="1"/>
    <row r="541" s="112" customFormat="1" ht="15.75" customHeight="1"/>
    <row r="542" s="112" customFormat="1" ht="15.75" customHeight="1"/>
    <row r="543" s="112" customFormat="1" ht="15.75" customHeight="1"/>
    <row r="544" s="112" customFormat="1" ht="15.75" customHeight="1"/>
    <row r="545" s="112" customFormat="1" ht="15.75" customHeight="1"/>
    <row r="546" s="112" customFormat="1" ht="15.75" customHeight="1"/>
    <row r="547" s="112" customFormat="1" ht="15.75" customHeight="1"/>
    <row r="548" s="112" customFormat="1" ht="15.75" customHeight="1"/>
    <row r="549" s="112" customFormat="1" ht="15.75" customHeight="1"/>
    <row r="550" s="112" customFormat="1" ht="15.75" customHeight="1"/>
    <row r="551" s="112" customFormat="1" ht="15.75" customHeight="1"/>
    <row r="552" s="112" customFormat="1" ht="15.75" customHeight="1"/>
    <row r="553" s="112" customFormat="1" ht="15.75" customHeight="1"/>
    <row r="554" s="112" customFormat="1" ht="15.75" customHeight="1"/>
    <row r="555" s="112" customFormat="1" ht="15.75" customHeight="1"/>
    <row r="556" s="112" customFormat="1" ht="15.75" customHeight="1"/>
    <row r="557" s="112" customFormat="1" ht="15.75" customHeight="1"/>
    <row r="558" s="112" customFormat="1" ht="15.75" customHeight="1"/>
    <row r="559" s="112" customFormat="1" ht="15.75" customHeight="1"/>
    <row r="560" s="112" customFormat="1" ht="15.75" customHeight="1"/>
    <row r="561" s="112" customFormat="1" ht="15.75" customHeight="1"/>
    <row r="562" s="112" customFormat="1" ht="15.75" customHeight="1"/>
    <row r="563" s="112" customFormat="1" ht="15.75" customHeight="1"/>
    <row r="564" s="112" customFormat="1" ht="15.75" customHeight="1"/>
    <row r="565" s="112" customFormat="1" ht="15.75" customHeight="1"/>
    <row r="566" s="112" customFormat="1" ht="15.75" customHeight="1"/>
    <row r="567" s="112" customFormat="1" ht="15.75" customHeight="1"/>
    <row r="568" s="112" customFormat="1" ht="15.75" customHeight="1"/>
    <row r="569" s="112" customFormat="1" ht="15.75" customHeight="1"/>
    <row r="570" s="112" customFormat="1" ht="15.75" customHeight="1"/>
    <row r="571" s="112" customFormat="1" ht="15.75" customHeight="1"/>
    <row r="572" s="112" customFormat="1" ht="15.75" customHeight="1"/>
    <row r="573" s="112" customFormat="1" ht="15.75" customHeight="1"/>
    <row r="574" s="112" customFormat="1" ht="15.75" customHeight="1"/>
    <row r="575" s="112" customFormat="1" ht="15.75" customHeight="1"/>
    <row r="576" s="112" customFormat="1" ht="15.75" customHeight="1"/>
    <row r="577" s="112" customFormat="1" ht="15.75" customHeight="1"/>
    <row r="578" s="112" customFormat="1" ht="15.75" customHeight="1"/>
    <row r="579" s="112" customFormat="1" ht="15.75" customHeight="1"/>
    <row r="580" s="112" customFormat="1" ht="15.75" customHeight="1"/>
    <row r="581" s="112" customFormat="1" ht="15.75" customHeight="1"/>
    <row r="582" s="112" customFormat="1" ht="15.75" customHeight="1"/>
    <row r="583" s="112" customFormat="1" ht="15.75" customHeight="1"/>
    <row r="584" s="112" customFormat="1" ht="15.75" customHeight="1"/>
    <row r="585" s="112" customFormat="1" ht="15.75" customHeight="1"/>
    <row r="586" s="112" customFormat="1" ht="15.75" customHeight="1"/>
    <row r="587" s="112" customFormat="1" ht="15.75" customHeight="1"/>
    <row r="588" s="112" customFormat="1" ht="15.75" customHeight="1"/>
    <row r="589" s="112" customFormat="1" ht="15.75" customHeight="1"/>
    <row r="590" s="112" customFormat="1" ht="15.75" customHeight="1"/>
    <row r="591" s="112" customFormat="1" ht="15.75" customHeight="1"/>
    <row r="592" s="112" customFormat="1" ht="15.75" customHeight="1"/>
    <row r="593" s="112" customFormat="1" ht="15.75" customHeight="1"/>
    <row r="594" s="112" customFormat="1" ht="15.75" customHeight="1"/>
    <row r="595" s="112" customFormat="1" ht="15.75" customHeight="1"/>
    <row r="596" s="112" customFormat="1" ht="15.75" customHeight="1"/>
    <row r="597" s="112" customFormat="1" ht="15.75" customHeight="1"/>
    <row r="598" s="112" customFormat="1" ht="15.75" customHeight="1"/>
    <row r="599" s="112" customFormat="1" ht="15.75" customHeight="1"/>
    <row r="600" s="112" customFormat="1" ht="15.75" customHeight="1"/>
    <row r="601" s="112" customFormat="1" ht="15.75" customHeight="1"/>
    <row r="602" s="112" customFormat="1" ht="15.75" customHeight="1"/>
    <row r="603" s="112" customFormat="1" ht="15.75" customHeight="1"/>
    <row r="604" s="112" customFormat="1" ht="15.75" customHeight="1"/>
    <row r="605" s="112" customFormat="1" ht="15.75" customHeight="1"/>
    <row r="606" s="112" customFormat="1" ht="15.75" customHeight="1"/>
    <row r="607" s="112" customFormat="1" ht="15.75" customHeight="1"/>
    <row r="608" s="112" customFormat="1" ht="15.75" customHeight="1"/>
    <row r="609" s="112" customFormat="1" ht="15.75" customHeight="1"/>
    <row r="610" s="112" customFormat="1" ht="15.75" customHeight="1"/>
    <row r="611" s="112" customFormat="1" ht="15.75" customHeight="1"/>
    <row r="612" s="112" customFormat="1" ht="15.75" customHeight="1"/>
    <row r="613" s="112" customFormat="1" ht="15.75" customHeight="1"/>
    <row r="614" s="112" customFormat="1" ht="15.75" customHeight="1"/>
    <row r="615" s="112" customFormat="1" ht="15.75" customHeight="1"/>
    <row r="616" s="112" customFormat="1" ht="15.75" customHeight="1"/>
    <row r="617" s="112" customFormat="1" ht="15.75" customHeight="1"/>
    <row r="618" s="112" customFormat="1" ht="15.75" customHeight="1"/>
    <row r="619" s="112" customFormat="1" ht="15.75" customHeight="1"/>
    <row r="620" s="112" customFormat="1" ht="15.75" customHeight="1"/>
    <row r="621" s="112" customFormat="1" ht="15.75" customHeight="1"/>
    <row r="622" s="112" customFormat="1" ht="15.75" customHeight="1"/>
    <row r="623" s="112" customFormat="1" ht="15.75" customHeight="1"/>
    <row r="624" s="112" customFormat="1" ht="15.75" customHeight="1"/>
    <row r="625" s="112" customFormat="1" ht="15.75" customHeight="1"/>
    <row r="626" s="112" customFormat="1" ht="15.75" customHeight="1"/>
    <row r="627" s="112" customFormat="1" ht="15.75" customHeight="1"/>
    <row r="628" s="112" customFormat="1" ht="15.75" customHeight="1"/>
    <row r="629" s="112" customFormat="1" ht="15.75" customHeight="1"/>
    <row r="630" s="112" customFormat="1" ht="15.75" customHeight="1"/>
    <row r="631" s="112" customFormat="1" ht="15.75" customHeight="1"/>
    <row r="632" s="112" customFormat="1" ht="15.75" customHeight="1"/>
    <row r="633" s="112" customFormat="1" ht="15.75" customHeight="1"/>
    <row r="634" s="112" customFormat="1" ht="15.75" customHeight="1"/>
    <row r="635" s="112" customFormat="1" ht="15.75" customHeight="1"/>
    <row r="636" s="112" customFormat="1" ht="15.75" customHeight="1"/>
    <row r="637" s="112" customFormat="1" ht="15.75" customHeight="1"/>
    <row r="638" s="112" customFormat="1" ht="15.75" customHeight="1"/>
    <row r="639" s="112" customFormat="1" ht="15.75" customHeight="1"/>
    <row r="640" s="112" customFormat="1" ht="15.75" customHeight="1"/>
    <row r="641" s="112" customFormat="1" ht="15.75" customHeight="1"/>
    <row r="642" s="112" customFormat="1" ht="15.75" customHeight="1"/>
    <row r="643" s="112" customFormat="1" ht="15.75" customHeight="1"/>
    <row r="644" s="112" customFormat="1" ht="15.75" customHeight="1"/>
    <row r="645" s="112" customFormat="1" ht="15.75" customHeight="1"/>
    <row r="646" s="112" customFormat="1" ht="15.75" customHeight="1"/>
    <row r="647" s="112" customFormat="1" ht="15.75" customHeight="1"/>
    <row r="648" s="112" customFormat="1" ht="15.75" customHeight="1"/>
    <row r="649" s="112" customFormat="1" ht="15.75" customHeight="1"/>
    <row r="650" s="112" customFormat="1" ht="15.75" customHeight="1"/>
    <row r="651" s="112" customFormat="1" ht="15.75" customHeight="1"/>
    <row r="652" s="112" customFormat="1" ht="15.75" customHeight="1"/>
    <row r="653" s="112" customFormat="1" ht="15.75" customHeight="1"/>
    <row r="654" s="112" customFormat="1" ht="15.75" customHeight="1"/>
    <row r="655" s="112" customFormat="1" ht="15.75" customHeight="1"/>
    <row r="656" s="112" customFormat="1" ht="15.75" customHeight="1"/>
    <row r="657" s="112" customFormat="1" ht="15.75" customHeight="1"/>
    <row r="658" s="112" customFormat="1" ht="15.75" customHeight="1"/>
    <row r="659" s="112" customFormat="1" ht="15.75" customHeight="1"/>
    <row r="660" s="112" customFormat="1" ht="15.75" customHeight="1"/>
    <row r="661" s="112" customFormat="1" ht="15.75" customHeight="1"/>
    <row r="662" s="112" customFormat="1" ht="15.75" customHeight="1"/>
    <row r="663" s="112" customFormat="1" ht="15.75" customHeight="1"/>
    <row r="664" s="112" customFormat="1" ht="15.75" customHeight="1"/>
    <row r="665" s="112" customFormat="1" ht="15.75" customHeight="1"/>
    <row r="666" s="112" customFormat="1" ht="15.75" customHeight="1"/>
    <row r="667" s="112" customFormat="1" ht="15.75" customHeight="1"/>
    <row r="668" s="112" customFormat="1" ht="15.75" customHeight="1"/>
    <row r="669" s="112" customFormat="1" ht="15.75" customHeight="1"/>
    <row r="670" s="112" customFormat="1" ht="15.75" customHeight="1"/>
    <row r="671" s="112" customFormat="1" ht="15.75" customHeight="1"/>
    <row r="672" s="112" customFormat="1" ht="15.75" customHeight="1"/>
    <row r="673" s="112" customFormat="1" ht="15.75" customHeight="1"/>
    <row r="674" s="112" customFormat="1" ht="15.75" customHeight="1"/>
    <row r="675" s="112" customFormat="1" ht="15.75" customHeight="1"/>
    <row r="676" s="112" customFormat="1" ht="15.75" customHeight="1"/>
    <row r="677" s="112" customFormat="1" ht="15.75" customHeight="1"/>
    <row r="678" s="112" customFormat="1" ht="15.75" customHeight="1"/>
    <row r="679" s="112" customFormat="1" ht="15.75" customHeight="1"/>
    <row r="680" s="112" customFormat="1" ht="15.75" customHeight="1"/>
    <row r="681" s="112" customFormat="1" ht="15.75" customHeight="1"/>
    <row r="682" s="112" customFormat="1" ht="15.75" customHeight="1"/>
    <row r="683" s="112" customFormat="1" ht="15.75" customHeight="1"/>
    <row r="684" s="112" customFormat="1" ht="15.75" customHeight="1"/>
    <row r="685" s="112" customFormat="1" ht="15.75" customHeight="1"/>
    <row r="686" s="112" customFormat="1" ht="15.75" customHeight="1"/>
    <row r="687" s="112" customFormat="1" ht="15.75" customHeight="1"/>
    <row r="688" s="112" customFormat="1" ht="15.75" customHeight="1"/>
    <row r="689" s="112" customFormat="1" ht="15.75" customHeight="1"/>
    <row r="690" s="112" customFormat="1" ht="15.75" customHeight="1"/>
    <row r="691" s="112" customFormat="1" ht="15.75" customHeight="1"/>
    <row r="692" s="112" customFormat="1" ht="15.75" customHeight="1"/>
    <row r="693" s="112" customFormat="1" ht="15.75" customHeight="1"/>
    <row r="694" s="112" customFormat="1" ht="15.75" customHeight="1"/>
    <row r="695" s="112" customFormat="1" ht="15.75" customHeight="1"/>
    <row r="696" s="112" customFormat="1" ht="15.75" customHeight="1"/>
    <row r="697" s="112" customFormat="1" ht="15.75" customHeight="1"/>
    <row r="698" s="112" customFormat="1" ht="15.75" customHeight="1"/>
    <row r="699" s="112" customFormat="1" ht="15.75" customHeight="1"/>
    <row r="700" s="112" customFormat="1" ht="15.75" customHeight="1"/>
    <row r="701" s="112" customFormat="1" ht="15.75" customHeight="1"/>
    <row r="702" s="112" customFormat="1" ht="15.75" customHeight="1"/>
    <row r="703" s="112" customFormat="1" ht="15.75" customHeight="1"/>
    <row r="704" s="112" customFormat="1" ht="15.75" customHeight="1"/>
    <row r="705" s="112" customFormat="1" ht="15.75" customHeight="1"/>
    <row r="706" s="112" customFormat="1" ht="15.75" customHeight="1"/>
    <row r="707" s="112" customFormat="1" ht="15.75" customHeight="1"/>
    <row r="708" s="112" customFormat="1" ht="15.75" customHeight="1"/>
    <row r="709" s="112" customFormat="1" ht="15.75" customHeight="1"/>
    <row r="710" s="112" customFormat="1" ht="15.75" customHeight="1"/>
    <row r="711" s="112" customFormat="1" ht="15.75" customHeight="1"/>
    <row r="712" s="112" customFormat="1" ht="15.75" customHeight="1"/>
    <row r="713" s="112" customFormat="1" ht="15.75" customHeight="1"/>
    <row r="714" s="112" customFormat="1" ht="15.75" customHeight="1"/>
    <row r="715" s="112" customFormat="1" ht="15.75" customHeight="1"/>
    <row r="716" s="112" customFormat="1" ht="15.75" customHeight="1"/>
    <row r="717" s="112" customFormat="1" ht="15.75" customHeight="1"/>
    <row r="718" s="112" customFormat="1" ht="15.75" customHeight="1"/>
    <row r="719" s="112" customFormat="1" ht="15.75" customHeight="1"/>
    <row r="720" s="112" customFormat="1" ht="15.75" customHeight="1"/>
    <row r="721" s="112" customFormat="1" ht="15.75" customHeight="1"/>
    <row r="722" s="112" customFormat="1" ht="15.75" customHeight="1"/>
    <row r="723" s="112" customFormat="1" ht="15.75" customHeight="1"/>
    <row r="724" s="112" customFormat="1" ht="15.75" customHeight="1"/>
    <row r="725" s="112" customFormat="1" ht="15.75" customHeight="1"/>
    <row r="726" s="112" customFormat="1" ht="15.75" customHeight="1"/>
    <row r="727" s="112" customFormat="1" ht="15.75" customHeight="1"/>
    <row r="728" s="112" customFormat="1" ht="15.75" customHeight="1"/>
    <row r="729" s="112" customFormat="1" ht="15.75" customHeight="1"/>
    <row r="730" s="112" customFormat="1" ht="15.75" customHeight="1"/>
    <row r="731" s="112" customFormat="1" ht="15.75" customHeight="1"/>
    <row r="732" s="112" customFormat="1" ht="15.75" customHeight="1"/>
    <row r="733" s="112" customFormat="1" ht="15.75" customHeight="1"/>
    <row r="734" s="112" customFormat="1" ht="15.75" customHeight="1"/>
    <row r="735" s="112" customFormat="1" ht="15.75" customHeight="1"/>
    <row r="736" s="112" customFormat="1" ht="15.75" customHeight="1"/>
    <row r="737" s="112" customFormat="1" ht="15.75" customHeight="1"/>
    <row r="738" s="112" customFormat="1" ht="15.75" customHeight="1"/>
    <row r="739" s="112" customFormat="1" ht="15.75" customHeight="1"/>
    <row r="740" s="112" customFormat="1" ht="15.75" customHeight="1"/>
    <row r="741" s="112" customFormat="1" ht="15.75" customHeight="1"/>
    <row r="742" s="112" customFormat="1" ht="15.75" customHeight="1"/>
    <row r="743" s="112" customFormat="1" ht="15.75" customHeight="1"/>
    <row r="744" s="112" customFormat="1" ht="15.75" customHeight="1"/>
    <row r="745" s="112" customFormat="1" ht="15.75" customHeight="1"/>
    <row r="746" s="112" customFormat="1" ht="15.75" customHeight="1"/>
    <row r="747" s="112" customFormat="1" ht="15.75" customHeight="1"/>
    <row r="748" s="112" customFormat="1" ht="15.75" customHeight="1"/>
    <row r="749" s="112" customFormat="1" ht="15.75" customHeight="1"/>
    <row r="750" s="112" customFormat="1" ht="15.75" customHeight="1"/>
    <row r="751" s="112" customFormat="1" ht="15.75" customHeight="1"/>
    <row r="752" s="112" customFormat="1" ht="15.75" customHeight="1"/>
    <row r="753" s="112" customFormat="1" ht="15.75" customHeight="1"/>
    <row r="754" s="112" customFormat="1" ht="15.75" customHeight="1"/>
    <row r="755" s="112" customFormat="1" ht="15.75" customHeight="1"/>
    <row r="756" s="112" customFormat="1" ht="15.75" customHeight="1"/>
    <row r="757" s="112" customFormat="1" ht="15.75" customHeight="1"/>
    <row r="758" s="112" customFormat="1" ht="15.75" customHeight="1"/>
    <row r="759" s="112" customFormat="1" ht="15.75" customHeight="1"/>
    <row r="760" s="112" customFormat="1" ht="15.75" customHeight="1"/>
    <row r="761" s="112" customFormat="1" ht="15.75" customHeight="1"/>
    <row r="762" s="112" customFormat="1" ht="15.75" customHeight="1"/>
    <row r="763" s="112" customFormat="1" ht="15.75" customHeight="1"/>
    <row r="764" s="112" customFormat="1" ht="15.75" customHeight="1"/>
    <row r="765" s="112" customFormat="1" ht="15.75" customHeight="1"/>
    <row r="766" s="112" customFormat="1" ht="15.75" customHeight="1"/>
    <row r="767" s="112" customFormat="1" ht="15.75" customHeight="1"/>
    <row r="768" s="112" customFormat="1" ht="15.75" customHeight="1"/>
    <row r="769" s="112" customFormat="1" ht="15.75" customHeight="1"/>
    <row r="770" s="112" customFormat="1" ht="15.75" customHeight="1"/>
    <row r="771" s="112" customFormat="1" ht="15.75" customHeight="1"/>
    <row r="772" s="112" customFormat="1" ht="15.75" customHeight="1"/>
    <row r="773" s="112" customFormat="1" ht="15.75" customHeight="1"/>
    <row r="774" s="112" customFormat="1" ht="15.75" customHeight="1"/>
    <row r="775" s="112" customFormat="1" ht="15.75" customHeight="1"/>
    <row r="776" s="112" customFormat="1" ht="15.75" customHeight="1"/>
    <row r="777" s="112" customFormat="1" ht="15.75" customHeight="1"/>
    <row r="778" s="112" customFormat="1" ht="15.75" customHeight="1"/>
    <row r="779" s="112" customFormat="1" ht="15.75" customHeight="1"/>
    <row r="780" s="112" customFormat="1" ht="15.75" customHeight="1"/>
    <row r="781" s="112" customFormat="1" ht="15.75" customHeight="1"/>
    <row r="782" s="112" customFormat="1" ht="15.75" customHeight="1"/>
    <row r="783" s="112" customFormat="1" ht="15.75" customHeight="1"/>
    <row r="784" s="112" customFormat="1" ht="15.75" customHeight="1"/>
    <row r="785" s="112" customFormat="1" ht="15.75" customHeight="1"/>
    <row r="786" s="112" customFormat="1" ht="15.75" customHeight="1"/>
    <row r="787" s="112" customFormat="1" ht="15.75" customHeight="1"/>
    <row r="788" s="112" customFormat="1" ht="15.75" customHeight="1"/>
    <row r="789" s="112" customFormat="1" ht="15.75" customHeight="1"/>
    <row r="790" s="112" customFormat="1" ht="15.75" customHeight="1"/>
    <row r="791" s="112" customFormat="1" ht="15.75" customHeight="1"/>
    <row r="792" s="112" customFormat="1" ht="15.75" customHeight="1"/>
    <row r="793" s="112" customFormat="1" ht="15.75" customHeight="1"/>
    <row r="794" s="112" customFormat="1" ht="15.75" customHeight="1"/>
    <row r="795" s="112" customFormat="1" ht="15.75" customHeight="1"/>
    <row r="796" s="112" customFormat="1" ht="15.75" customHeight="1"/>
    <row r="797" s="112" customFormat="1" ht="15.75" customHeight="1"/>
    <row r="798" s="112" customFormat="1" ht="15.75" customHeight="1"/>
    <row r="799" s="112" customFormat="1" ht="15.75" customHeight="1"/>
    <row r="800" s="112" customFormat="1" ht="15.75" customHeight="1"/>
    <row r="801" s="112" customFormat="1" ht="15.75" customHeight="1"/>
    <row r="802" s="112" customFormat="1" ht="15.75" customHeight="1"/>
    <row r="803" s="112" customFormat="1" ht="15.75" customHeight="1"/>
    <row r="804" s="112" customFormat="1" ht="15.75" customHeight="1"/>
    <row r="805" s="112" customFormat="1" ht="15.75" customHeight="1"/>
    <row r="806" s="112" customFormat="1" ht="15.75" customHeight="1"/>
    <row r="807" s="112" customFormat="1" ht="15.75" customHeight="1"/>
    <row r="808" s="112" customFormat="1" ht="15.75" customHeight="1"/>
    <row r="809" s="112" customFormat="1" ht="15.75" customHeight="1"/>
    <row r="810" s="112" customFormat="1" ht="15.75" customHeight="1"/>
    <row r="811" s="112" customFormat="1" ht="15.75" customHeight="1"/>
    <row r="812" s="112" customFormat="1" ht="15.75" customHeight="1"/>
    <row r="813" s="112" customFormat="1" ht="15.75" customHeight="1"/>
    <row r="814" s="112" customFormat="1" ht="15.75" customHeight="1"/>
    <row r="815" s="112" customFormat="1" ht="15.75" customHeight="1"/>
    <row r="816" s="112" customFormat="1" ht="15.75" customHeight="1"/>
    <row r="817" s="112" customFormat="1" ht="15.75" customHeight="1"/>
    <row r="818" s="112" customFormat="1" ht="15.75" customHeight="1"/>
    <row r="819" s="112" customFormat="1" ht="15.75" customHeight="1"/>
    <row r="820" s="112" customFormat="1" ht="15.75" customHeight="1"/>
    <row r="821" s="112" customFormat="1" ht="15.75" customHeight="1"/>
    <row r="822" s="112" customFormat="1" ht="15.75" customHeight="1"/>
    <row r="823" s="112" customFormat="1" ht="15.75" customHeight="1"/>
    <row r="824" s="112" customFormat="1" ht="15.75" customHeight="1"/>
    <row r="825" s="112" customFormat="1" ht="15.75" customHeight="1"/>
    <row r="826" s="112" customFormat="1" ht="15.75" customHeight="1"/>
    <row r="827" s="112" customFormat="1" ht="15.75" customHeight="1"/>
    <row r="828" s="112" customFormat="1" ht="15.75" customHeight="1"/>
    <row r="829" s="112" customFormat="1" ht="15.75" customHeight="1"/>
    <row r="830" s="112" customFormat="1" ht="15.75" customHeight="1"/>
    <row r="831" s="112" customFormat="1" ht="15.75" customHeight="1"/>
    <row r="832" s="112" customFormat="1" ht="15.75" customHeight="1"/>
    <row r="833" s="112" customFormat="1" ht="15.75" customHeight="1"/>
    <row r="834" s="112" customFormat="1" ht="15.75" customHeight="1"/>
    <row r="835" s="112" customFormat="1" ht="15.75" customHeight="1"/>
    <row r="836" s="112" customFormat="1" ht="15.75" customHeight="1"/>
    <row r="837" s="112" customFormat="1" ht="15.75" customHeight="1"/>
    <row r="838" s="112" customFormat="1" ht="15.75" customHeight="1"/>
    <row r="839" s="112" customFormat="1" ht="15.75" customHeight="1"/>
    <row r="840" s="112" customFormat="1" ht="15.75" customHeight="1"/>
    <row r="841" s="112" customFormat="1" ht="15.75" customHeight="1"/>
    <row r="842" s="112" customFormat="1" ht="15.75" customHeight="1"/>
    <row r="843" s="112" customFormat="1" ht="15.75" customHeight="1"/>
    <row r="844" s="112" customFormat="1" ht="15.75" customHeight="1"/>
    <row r="845" s="112" customFormat="1" ht="15.75" customHeight="1"/>
    <row r="846" s="112" customFormat="1" ht="15.75" customHeight="1"/>
    <row r="847" s="112" customFormat="1" ht="15.75" customHeight="1"/>
    <row r="848" s="112" customFormat="1" ht="15.75" customHeight="1"/>
    <row r="849" s="112" customFormat="1" ht="15.75" customHeight="1"/>
    <row r="850" s="112" customFormat="1" ht="15.75" customHeight="1"/>
    <row r="851" s="112" customFormat="1" ht="15.75" customHeight="1"/>
    <row r="852" s="112" customFormat="1" ht="15.75" customHeight="1"/>
    <row r="853" s="112" customFormat="1" ht="15.75" customHeight="1"/>
    <row r="854" s="112" customFormat="1" ht="15.75" customHeight="1"/>
    <row r="855" s="112" customFormat="1" ht="15.75" customHeight="1"/>
    <row r="856" s="112" customFormat="1" ht="15.75" customHeight="1"/>
    <row r="857" s="112" customFormat="1" ht="15.75" customHeight="1"/>
    <row r="858" s="112" customFormat="1" ht="15.75" customHeight="1"/>
    <row r="859" s="112" customFormat="1" ht="15.75" customHeight="1"/>
    <row r="860" s="112" customFormat="1" ht="15.75" customHeight="1"/>
    <row r="861" s="112" customFormat="1" ht="15.75" customHeight="1"/>
    <row r="862" s="112" customFormat="1" ht="15.75" customHeight="1"/>
    <row r="863" s="112" customFormat="1" ht="15.75" customHeight="1"/>
    <row r="864" s="112" customFormat="1" ht="15.75" customHeight="1"/>
    <row r="865" s="112" customFormat="1" ht="15.75" customHeight="1"/>
    <row r="866" s="112" customFormat="1" ht="15.75" customHeight="1"/>
    <row r="867" s="112" customFormat="1" ht="15.75" customHeight="1"/>
    <row r="868" s="112" customFormat="1" ht="15.75" customHeight="1"/>
    <row r="869" s="112" customFormat="1" ht="15.75" customHeight="1"/>
    <row r="870" s="112" customFormat="1" ht="15.75" customHeight="1"/>
    <row r="871" s="112" customFormat="1" ht="15.75" customHeight="1"/>
    <row r="872" s="112" customFormat="1" ht="15.75" customHeight="1"/>
    <row r="873" s="112" customFormat="1" ht="15.75" customHeight="1"/>
    <row r="874" s="112" customFormat="1" ht="15.75" customHeight="1"/>
    <row r="875" s="112" customFormat="1" ht="15.75" customHeight="1"/>
    <row r="876" s="112" customFormat="1" ht="15.75" customHeight="1"/>
    <row r="877" s="112" customFormat="1" ht="15.75" customHeight="1"/>
    <row r="878" s="112" customFormat="1" ht="15.75" customHeight="1"/>
    <row r="879" s="112" customFormat="1" ht="15.75" customHeight="1"/>
    <row r="880" s="112" customFormat="1" ht="15.75" customHeight="1"/>
    <row r="881" s="112" customFormat="1" ht="15.75" customHeight="1"/>
    <row r="882" s="112" customFormat="1" ht="15.75" customHeight="1"/>
    <row r="883" s="112" customFormat="1" ht="15.75" customHeight="1"/>
    <row r="884" s="112" customFormat="1" ht="15.75" customHeight="1"/>
    <row r="885" s="112" customFormat="1" ht="15.75" customHeight="1"/>
    <row r="886" s="112" customFormat="1" ht="15.75" customHeight="1"/>
    <row r="887" s="112" customFormat="1" ht="15.75" customHeight="1"/>
    <row r="888" s="112" customFormat="1" ht="15.75" customHeight="1"/>
    <row r="889" s="112" customFormat="1" ht="15.75" customHeight="1"/>
    <row r="890" s="112" customFormat="1" ht="15.75" customHeight="1"/>
    <row r="891" s="112" customFormat="1" ht="15.75" customHeight="1"/>
    <row r="892" s="112" customFormat="1" ht="15.75" customHeight="1"/>
    <row r="893" s="112" customFormat="1" ht="15.75" customHeight="1"/>
    <row r="894" s="112" customFormat="1" ht="15.75" customHeight="1"/>
    <row r="895" s="112" customFormat="1" ht="15.75" customHeight="1"/>
    <row r="896" s="112" customFormat="1" ht="15.75" customHeight="1"/>
    <row r="897" s="112" customFormat="1" ht="15.75" customHeight="1"/>
    <row r="898" s="112" customFormat="1" ht="15.75" customHeight="1"/>
    <row r="899" s="112" customFormat="1" ht="15.75" customHeight="1"/>
    <row r="900" s="112" customFormat="1" ht="15.75" customHeight="1"/>
    <row r="901" s="112" customFormat="1" ht="15.75" customHeight="1"/>
    <row r="902" s="112" customFormat="1" ht="15.75" customHeight="1"/>
    <row r="903" s="112" customFormat="1" ht="15.75" customHeight="1"/>
    <row r="904" s="112" customFormat="1" ht="15.75" customHeight="1"/>
    <row r="905" s="112" customFormat="1" ht="15.75" customHeight="1"/>
    <row r="906" s="112" customFormat="1" ht="15.75" customHeight="1"/>
    <row r="907" s="112" customFormat="1" ht="15.75" customHeight="1"/>
    <row r="908" s="112" customFormat="1" ht="15.75" customHeight="1"/>
    <row r="909" s="112" customFormat="1" ht="15.75" customHeight="1"/>
    <row r="910" s="112" customFormat="1" ht="15.75" customHeight="1"/>
    <row r="911" s="112" customFormat="1" ht="15.75" customHeight="1"/>
    <row r="912" s="112" customFormat="1" ht="15.75" customHeight="1"/>
    <row r="913" s="112" customFormat="1" ht="15.75" customHeight="1"/>
    <row r="914" s="112" customFormat="1" ht="15.75" customHeight="1"/>
    <row r="915" s="112" customFormat="1" ht="15.75" customHeight="1"/>
    <row r="916" s="112" customFormat="1" ht="15.75" customHeight="1"/>
    <row r="917" s="112" customFormat="1" ht="15.75" customHeight="1"/>
    <row r="918" s="112" customFormat="1" ht="15.75" customHeight="1"/>
    <row r="919" s="112" customFormat="1" ht="15.75" customHeight="1"/>
    <row r="920" s="112" customFormat="1" ht="15.75" customHeight="1"/>
    <row r="921" s="112" customFormat="1" ht="15.75" customHeight="1"/>
    <row r="922" s="112" customFormat="1" ht="15.75" customHeight="1"/>
    <row r="923" s="112" customFormat="1" ht="15.75" customHeight="1"/>
    <row r="924" s="112" customFormat="1" ht="15.75" customHeight="1"/>
    <row r="925" s="112" customFormat="1" ht="15.75" customHeight="1"/>
    <row r="926" s="112" customFormat="1" ht="15.75" customHeight="1"/>
    <row r="927" s="112" customFormat="1" ht="15.75" customHeight="1"/>
    <row r="928" s="112" customFormat="1" ht="15.75" customHeight="1"/>
    <row r="929" s="112" customFormat="1" ht="15.75" customHeight="1"/>
    <row r="930" s="112" customFormat="1" ht="15.75" customHeight="1"/>
    <row r="931" s="112" customFormat="1" ht="15.75" customHeight="1"/>
    <row r="932" s="112" customFormat="1" ht="15.75" customHeight="1"/>
    <row r="933" s="112" customFormat="1" ht="15.75" customHeight="1"/>
    <row r="934" s="112" customFormat="1" ht="15.75" customHeight="1"/>
    <row r="935" s="112" customFormat="1" ht="15.75" customHeight="1"/>
    <row r="936" s="112" customFormat="1" ht="15.75" customHeight="1"/>
    <row r="937" s="112" customFormat="1" ht="15.75" customHeight="1"/>
    <row r="938" s="112" customFormat="1" ht="15.75" customHeight="1"/>
    <row r="939" s="112" customFormat="1" ht="15.75" customHeight="1"/>
    <row r="940" s="112" customFormat="1" ht="15.75" customHeight="1"/>
    <row r="941" s="112" customFormat="1" ht="15.75" customHeight="1"/>
    <row r="942" s="112" customFormat="1" ht="15.75" customHeight="1"/>
    <row r="943" s="112" customFormat="1" ht="15.75" customHeight="1"/>
    <row r="944" s="112" customFormat="1" ht="15.75" customHeight="1"/>
    <row r="945" s="112" customFormat="1" ht="15.75" customHeight="1"/>
    <row r="946" s="112" customFormat="1" ht="15.75" customHeight="1"/>
    <row r="947" s="112" customFormat="1" ht="15.75" customHeight="1"/>
    <row r="948" s="112" customFormat="1" ht="15.75" customHeight="1"/>
    <row r="949" s="112" customFormat="1" ht="15.75" customHeight="1"/>
    <row r="950" s="112" customFormat="1" ht="15.75" customHeight="1"/>
    <row r="951" s="112" customFormat="1" ht="15.75" customHeight="1"/>
    <row r="952" s="112" customFormat="1" ht="15.75" customHeight="1"/>
    <row r="953" s="112" customFormat="1" ht="15.75" customHeight="1"/>
    <row r="954" s="112" customFormat="1" ht="15.75" customHeight="1"/>
    <row r="955" s="112" customFormat="1" ht="15.75" customHeight="1"/>
    <row r="956" s="112" customFormat="1" ht="15.75" customHeight="1"/>
    <row r="957" s="112" customFormat="1" ht="15.75" customHeight="1"/>
    <row r="958" s="112" customFormat="1" ht="15.75" customHeight="1"/>
    <row r="959" s="112" customFormat="1" ht="15.75" customHeight="1"/>
    <row r="960" s="112" customFormat="1" ht="15.75" customHeight="1"/>
    <row r="961" s="112" customFormat="1" ht="15.75" customHeight="1"/>
    <row r="962" s="112" customFormat="1" ht="15.75" customHeight="1"/>
    <row r="963" s="112" customFormat="1" ht="15.75" customHeight="1"/>
    <row r="964" s="112" customFormat="1" ht="15.75" customHeight="1"/>
    <row r="965" s="112" customFormat="1" ht="15.75" customHeight="1"/>
    <row r="966" s="112" customFormat="1" ht="15.75" customHeight="1"/>
    <row r="967" s="112" customFormat="1" ht="15.75" customHeight="1"/>
    <row r="968" s="112" customFormat="1" ht="15.75" customHeight="1"/>
    <row r="969" s="112" customFormat="1" ht="15.75" customHeight="1"/>
    <row r="970" s="112" customFormat="1" ht="15.75" customHeight="1"/>
    <row r="971" s="112" customFormat="1" ht="15.75" customHeight="1"/>
    <row r="972" s="112" customFormat="1" ht="15.75" customHeight="1"/>
    <row r="973" s="112" customFormat="1" ht="15.75" customHeight="1"/>
    <row r="974" s="112" customFormat="1" ht="15.75" customHeight="1"/>
    <row r="975" s="112" customFormat="1" ht="15.75" customHeight="1"/>
    <row r="976" s="112" customFormat="1" ht="15.75" customHeight="1"/>
    <row r="977" s="112" customFormat="1" ht="15.75" customHeight="1"/>
    <row r="978" s="112" customFormat="1" ht="15.75" customHeight="1"/>
    <row r="979" s="112" customFormat="1" ht="15.75" customHeight="1"/>
    <row r="980" s="112" customFormat="1" ht="15.75" customHeight="1"/>
    <row r="981" s="112" customFormat="1" ht="15.75" customHeight="1"/>
    <row r="982" s="112" customFormat="1" ht="15.75" customHeight="1"/>
    <row r="983" s="112" customFormat="1" ht="15.75" customHeight="1"/>
    <row r="984" s="112" customFormat="1" ht="15.75" customHeight="1"/>
    <row r="985" s="112" customFormat="1" ht="15.75" customHeight="1"/>
    <row r="986" s="112" customFormat="1" ht="15.75" customHeight="1"/>
    <row r="987" s="112" customFormat="1" ht="15.75" customHeight="1"/>
    <row r="988" s="112" customFormat="1" ht="15.75" customHeight="1"/>
    <row r="989" s="112" customFormat="1" ht="15.75" customHeight="1"/>
    <row r="990" s="112" customFormat="1" ht="15.75" customHeight="1"/>
    <row r="991" s="112" customFormat="1" ht="15.75" customHeight="1"/>
    <row r="992" s="112" customFormat="1" ht="15.75" customHeight="1"/>
    <row r="993" s="112" customFormat="1" ht="15.75" customHeight="1"/>
    <row r="994" s="112" customFormat="1" ht="15.75" customHeight="1"/>
    <row r="995" s="112" customFormat="1" ht="15.75" customHeight="1"/>
    <row r="996" s="112" customFormat="1" ht="15.75" customHeight="1"/>
    <row r="997" s="112" customFormat="1" ht="15.75" customHeight="1"/>
    <row r="998" s="112" customFormat="1" ht="15.75" customHeight="1"/>
    <row r="999" s="112" customFormat="1" ht="15.75" customHeight="1"/>
    <row r="1000" s="112" customFormat="1" ht="15.75" customHeight="1"/>
    <row r="1001" s="112" customFormat="1" ht="15.75" customHeight="1"/>
    <row r="1002" s="112" customFormat="1" ht="15.75" customHeight="1"/>
    <row r="1003" s="112" customFormat="1" ht="15.75" customHeight="1"/>
    <row r="1004" s="112" customFormat="1" ht="15.75" customHeight="1"/>
    <row r="1005" s="112" customFormat="1" ht="15.75" customHeight="1"/>
    <row r="1006" s="112" customFormat="1" ht="15.75" customHeight="1"/>
    <row r="1007" s="112" customFormat="1" ht="15.75" customHeight="1"/>
    <row r="1008" s="112" customFormat="1" ht="15.75" customHeight="1"/>
    <row r="1009" s="112" customFormat="1" ht="15.75" customHeight="1"/>
    <row r="1010" s="112" customFormat="1" ht="15.75" customHeight="1"/>
    <row r="1011" s="112" customFormat="1" ht="15.75" customHeight="1"/>
    <row r="1012" s="112" customFormat="1" ht="15.75" customHeight="1"/>
    <row r="1013" s="112" customFormat="1" ht="15.75" customHeight="1"/>
    <row r="1014" s="112" customFormat="1" ht="15.75" customHeight="1"/>
    <row r="1015" s="112" customFormat="1" ht="15.75" customHeight="1"/>
    <row r="1016" s="112" customFormat="1" ht="15.75" customHeight="1"/>
    <row r="1017" s="112" customFormat="1" ht="15.75" customHeight="1"/>
    <row r="1018" s="112" customFormat="1" ht="15.75" customHeight="1"/>
    <row r="1019" s="112" customFormat="1" ht="15.75" customHeight="1"/>
    <row r="1020" s="112" customFormat="1" ht="15.75" customHeight="1"/>
    <row r="1021" s="112" customFormat="1" ht="15.75" customHeight="1"/>
    <row r="1022" s="112" customFormat="1" ht="15.75" customHeight="1"/>
    <row r="1023" s="112" customFormat="1" ht="15.75" customHeight="1"/>
    <row r="1024" s="112" customFormat="1" ht="15.75" customHeight="1"/>
    <row r="1025" s="112" customFormat="1" ht="15.75" customHeight="1"/>
    <row r="1026" s="112" customFormat="1" ht="15.75" customHeight="1"/>
    <row r="1027" s="112" customFormat="1" ht="15.75" customHeight="1"/>
    <row r="1028" s="112" customFormat="1" ht="15.75" customHeight="1"/>
    <row r="1029" s="112" customFormat="1" ht="15.75" customHeight="1"/>
    <row r="1030" s="112" customFormat="1" ht="15.75" customHeight="1"/>
    <row r="1031" s="112" customFormat="1" ht="15.75" customHeight="1"/>
    <row r="1032" s="112" customFormat="1" ht="15.75" customHeight="1"/>
    <row r="1033" s="112" customFormat="1" ht="15.75" customHeight="1"/>
    <row r="1034" s="112" customFormat="1" ht="15.75" customHeight="1"/>
    <row r="1035" s="112" customFormat="1" ht="15.75" customHeight="1"/>
    <row r="1036" s="112" customFormat="1" ht="15.75" customHeight="1"/>
    <row r="1037" s="112" customFormat="1" ht="15.75" customHeight="1"/>
    <row r="1038" s="112" customFormat="1" ht="15.75" customHeight="1"/>
    <row r="1039" s="112" customFormat="1" ht="15.75" customHeight="1"/>
    <row r="1040" s="112" customFormat="1" ht="15.75" customHeight="1"/>
    <row r="1041" s="112" customFormat="1" ht="15.75" customHeight="1"/>
    <row r="1042" s="112" customFormat="1" ht="15.75" customHeight="1"/>
    <row r="1043" s="112" customFormat="1" ht="15.75" customHeight="1"/>
    <row r="1044" s="112" customFormat="1" ht="15.75" customHeight="1"/>
    <row r="1045" s="112" customFormat="1" ht="15.75" customHeight="1"/>
    <row r="1046" s="112" customFormat="1" ht="15.75" customHeight="1"/>
    <row r="1047" s="112" customFormat="1" ht="15.75" customHeight="1"/>
    <row r="1048" s="112" customFormat="1" ht="15.75" customHeight="1"/>
    <row r="1049" s="112" customFormat="1" ht="15.75" customHeight="1"/>
    <row r="1050" s="112" customFormat="1" ht="15.75" customHeight="1"/>
    <row r="1051" s="112" customFormat="1" ht="15.75" customHeight="1"/>
    <row r="1052" s="112" customFormat="1" ht="15.75" customHeight="1"/>
    <row r="1053" s="112" customFormat="1" ht="15.75" customHeight="1"/>
    <row r="1054" s="112" customFormat="1" ht="15.75" customHeight="1"/>
    <row r="1055" s="112" customFormat="1" ht="15.75" customHeight="1"/>
    <row r="1056" s="112" customFormat="1" ht="15.75" customHeight="1"/>
    <row r="1057" s="112" customFormat="1" ht="15.75" customHeight="1"/>
    <row r="1058" s="112" customFormat="1" ht="15.75" customHeight="1"/>
    <row r="1059" s="112" customFormat="1" ht="15.75" customHeight="1"/>
    <row r="1060" s="112" customFormat="1" ht="15" customHeight="1"/>
    <row r="1061" s="112" customFormat="1" ht="15" customHeight="1"/>
    <row r="1062" s="112" customFormat="1" ht="15" customHeight="1"/>
    <row r="1063" s="112" customFormat="1" ht="15" customHeight="1"/>
    <row r="1064" s="112" customFormat="1" ht="15" customHeight="1"/>
    <row r="1065" s="112" customFormat="1" ht="15" customHeight="1"/>
    <row r="1066" s="112" customFormat="1" ht="15" customHeight="1"/>
    <row r="1067" s="112" customFormat="1" ht="15" customHeight="1"/>
  </sheetData>
  <mergeCells count="6">
    <mergeCell ref="BG66:BR66"/>
    <mergeCell ref="C66:J66"/>
    <mergeCell ref="K66:V66"/>
    <mergeCell ref="W66:AH66"/>
    <mergeCell ref="AI66:AT66"/>
    <mergeCell ref="AU66:BF6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CapTable</vt:lpstr>
      <vt:lpstr>Comps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Cole</dc:creator>
  <cp:lastModifiedBy>Daniel Cole</cp:lastModifiedBy>
  <cp:lastPrinted>2023-02-26T06:49:07Z</cp:lastPrinted>
  <dcterms:created xsi:type="dcterms:W3CDTF">2023-02-11T10:12:25Z</dcterms:created>
  <dcterms:modified xsi:type="dcterms:W3CDTF">2024-09-26T19:47:03Z</dcterms:modified>
</cp:coreProperties>
</file>