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20a75f9320a1647/Documents/Portfolio/Valuation/"/>
    </mc:Choice>
  </mc:AlternateContent>
  <xr:revisionPtr revIDLastSave="178" documentId="8_{8DFFCAD2-6531-48AA-A11E-65D1AA7F516D}" xr6:coauthVersionLast="47" xr6:coauthVersionMax="47" xr10:uidLastSave="{F25538A0-4156-422C-B8FD-EEF2AF3A5D7C}"/>
  <bookViews>
    <workbookView xWindow="-120" yWindow="-120" windowWidth="29040" windowHeight="15720" xr2:uid="{C7145DA4-9C39-4852-82A5-BB54ACBB986E}"/>
  </bookViews>
  <sheets>
    <sheet name="LBO" sheetId="1" r:id="rId1"/>
  </sheet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5" i="1" l="1"/>
  <c r="K41" i="1" l="1"/>
  <c r="K107" i="1"/>
  <c r="L104" i="1" s="1"/>
  <c r="L105" i="1" s="1"/>
  <c r="K101" i="1"/>
  <c r="L98" i="1" s="1"/>
  <c r="L99" i="1" s="1"/>
  <c r="K95" i="1"/>
  <c r="L90" i="1"/>
  <c r="M90" i="1" s="1"/>
  <c r="N90" i="1" s="1"/>
  <c r="O90" i="1" s="1"/>
  <c r="P90" i="1" s="1"/>
  <c r="L70" i="1"/>
  <c r="M70" i="1"/>
  <c r="N70" i="1" s="1"/>
  <c r="O70" i="1" s="1"/>
  <c r="P70" i="1" s="1"/>
  <c r="L65" i="1"/>
  <c r="M65" i="1" s="1"/>
  <c r="N65" i="1" s="1"/>
  <c r="O65" i="1" s="1"/>
  <c r="P65" i="1" s="1"/>
  <c r="L81" i="1"/>
  <c r="M81" i="1" s="1"/>
  <c r="N81" i="1" s="1"/>
  <c r="O81" i="1" s="1"/>
  <c r="P81" i="1" s="1"/>
  <c r="K78" i="1"/>
  <c r="K74" i="1"/>
  <c r="N28" i="1"/>
  <c r="N25" i="1"/>
  <c r="E27" i="1"/>
  <c r="E26" i="1"/>
  <c r="E25" i="1"/>
  <c r="B27" i="1"/>
  <c r="B26" i="1"/>
  <c r="B25" i="1"/>
  <c r="K53" i="1"/>
  <c r="K71" i="1" s="1"/>
  <c r="K47" i="1"/>
  <c r="L39" i="1"/>
  <c r="M39" i="1" s="1"/>
  <c r="N39" i="1" s="1"/>
  <c r="O39" i="1" s="1"/>
  <c r="P39" i="1" s="1"/>
  <c r="K38" i="1"/>
  <c r="L37" i="1"/>
  <c r="M37" i="1" s="1"/>
  <c r="N37" i="1" s="1"/>
  <c r="O37" i="1" s="1"/>
  <c r="P37" i="1" s="1"/>
  <c r="J18" i="1"/>
  <c r="P118" i="1" s="1"/>
  <c r="K113" i="1" l="1"/>
  <c r="K75" i="1"/>
  <c r="L75" i="1" s="1"/>
  <c r="M75" i="1" s="1"/>
  <c r="N75" i="1" s="1"/>
  <c r="O75" i="1" s="1"/>
  <c r="P75" i="1" s="1"/>
  <c r="K79" i="1"/>
  <c r="L79" i="1" s="1"/>
  <c r="M79" i="1" s="1"/>
  <c r="N79" i="1" s="1"/>
  <c r="O79" i="1" s="1"/>
  <c r="P79" i="1" s="1"/>
  <c r="L92" i="1"/>
  <c r="E28" i="1"/>
  <c r="K48" i="1"/>
  <c r="L48" i="1" s="1"/>
  <c r="M48" i="1" s="1"/>
  <c r="K44" i="1"/>
  <c r="K50" i="1" s="1"/>
  <c r="K42" i="1"/>
  <c r="L42" i="1" s="1"/>
  <c r="M42" i="1" s="1"/>
  <c r="L38" i="1"/>
  <c r="K54" i="1"/>
  <c r="L54" i="1" l="1"/>
  <c r="L72" i="1" s="1"/>
  <c r="K72" i="1"/>
  <c r="L110" i="1"/>
  <c r="L93" i="1"/>
  <c r="L111" i="1" s="1"/>
  <c r="L59" i="1" s="1"/>
  <c r="M38" i="1"/>
  <c r="M47" i="1" s="1"/>
  <c r="L78" i="1"/>
  <c r="L84" i="1" s="1"/>
  <c r="L74" i="1"/>
  <c r="L76" i="1" s="1"/>
  <c r="L85" i="1" s="1"/>
  <c r="K45" i="1"/>
  <c r="L41" i="1"/>
  <c r="L44" i="1" s="1"/>
  <c r="L47" i="1"/>
  <c r="K51" i="1"/>
  <c r="K56" i="1"/>
  <c r="N48" i="1"/>
  <c r="N42" i="1"/>
  <c r="M54" i="1" l="1"/>
  <c r="M72" i="1" s="1"/>
  <c r="L53" i="1"/>
  <c r="L71" i="1" s="1"/>
  <c r="L83" i="1" s="1"/>
  <c r="M41" i="1"/>
  <c r="M44" i="1" s="1"/>
  <c r="M45" i="1" s="1"/>
  <c r="L50" i="1"/>
  <c r="L61" i="1" s="1"/>
  <c r="L64" i="1" s="1"/>
  <c r="L67" i="1" s="1"/>
  <c r="L45" i="1"/>
  <c r="N38" i="1"/>
  <c r="M78" i="1"/>
  <c r="M84" i="1" s="1"/>
  <c r="M74" i="1"/>
  <c r="M76" i="1" s="1"/>
  <c r="M85" i="1" s="1"/>
  <c r="K57" i="1"/>
  <c r="J9" i="1"/>
  <c r="O48" i="1"/>
  <c r="O42" i="1"/>
  <c r="M53" i="1" l="1"/>
  <c r="M71" i="1" s="1"/>
  <c r="M83" i="1" s="1"/>
  <c r="N54" i="1"/>
  <c r="N72" i="1" s="1"/>
  <c r="M50" i="1"/>
  <c r="L62" i="1"/>
  <c r="L56" i="1"/>
  <c r="L57" i="1" s="1"/>
  <c r="O25" i="1"/>
  <c r="O28" i="1"/>
  <c r="O38" i="1"/>
  <c r="O47" i="1" s="1"/>
  <c r="N74" i="1"/>
  <c r="N76" i="1" s="1"/>
  <c r="N85" i="1" s="1"/>
  <c r="N78" i="1"/>
  <c r="N84" i="1" s="1"/>
  <c r="N41" i="1"/>
  <c r="N44" i="1" s="1"/>
  <c r="N45" i="1" s="1"/>
  <c r="L68" i="1"/>
  <c r="L82" i="1"/>
  <c r="L86" i="1" s="1"/>
  <c r="L94" i="1" s="1"/>
  <c r="L95" i="1" s="1"/>
  <c r="N47" i="1"/>
  <c r="J11" i="1"/>
  <c r="J13" i="1" s="1"/>
  <c r="N26" i="1" s="1"/>
  <c r="F25" i="1"/>
  <c r="F27" i="1"/>
  <c r="F26" i="1"/>
  <c r="O54" i="1"/>
  <c r="O72" i="1" s="1"/>
  <c r="P48" i="1"/>
  <c r="P42" i="1"/>
  <c r="N53" i="1" l="1"/>
  <c r="N71" i="1" s="1"/>
  <c r="N83" i="1" s="1"/>
  <c r="O41" i="1"/>
  <c r="O44" i="1" s="1"/>
  <c r="O50" i="1" s="1"/>
  <c r="M56" i="1"/>
  <c r="M57" i="1" s="1"/>
  <c r="N50" i="1"/>
  <c r="L100" i="1"/>
  <c r="L101" i="1" s="1"/>
  <c r="M98" i="1" s="1"/>
  <c r="M99" i="1" s="1"/>
  <c r="P38" i="1"/>
  <c r="P47" i="1" s="1"/>
  <c r="O74" i="1"/>
  <c r="O76" i="1" s="1"/>
  <c r="O85" i="1" s="1"/>
  <c r="O78" i="1"/>
  <c r="O84" i="1" s="1"/>
  <c r="N32" i="1"/>
  <c r="O26" i="1"/>
  <c r="O32" i="1" s="1"/>
  <c r="M92" i="1"/>
  <c r="F28" i="1"/>
  <c r="P54" i="1"/>
  <c r="O53" i="1"/>
  <c r="O71" i="1" s="1"/>
  <c r="O83" i="1" s="1"/>
  <c r="O45" i="1"/>
  <c r="N56" i="1" l="1"/>
  <c r="N57" i="1" s="1"/>
  <c r="P53" i="1"/>
  <c r="P71" i="1" s="1"/>
  <c r="P83" i="1" s="1"/>
  <c r="P72" i="1"/>
  <c r="O56" i="1"/>
  <c r="O57" i="1" s="1"/>
  <c r="P74" i="1"/>
  <c r="P76" i="1" s="1"/>
  <c r="P85" i="1" s="1"/>
  <c r="P78" i="1"/>
  <c r="P84" i="1" s="1"/>
  <c r="L106" i="1"/>
  <c r="L107" i="1" s="1"/>
  <c r="M104" i="1" s="1"/>
  <c r="M105" i="1" s="1"/>
  <c r="P41" i="1"/>
  <c r="P44" i="1" s="1"/>
  <c r="P26" i="1"/>
  <c r="P28" i="1"/>
  <c r="E32" i="1"/>
  <c r="P25" i="1"/>
  <c r="M93" i="1"/>
  <c r="P45" i="1" l="1"/>
  <c r="P50" i="1"/>
  <c r="P56" i="1" s="1"/>
  <c r="L112" i="1"/>
  <c r="M111" i="1"/>
  <c r="M59" i="1" s="1"/>
  <c r="M61" i="1" s="1"/>
  <c r="M62" i="1" s="1"/>
  <c r="M110" i="1"/>
  <c r="L113" i="1"/>
  <c r="P32" i="1"/>
  <c r="G27" i="1"/>
  <c r="F32" i="1"/>
  <c r="G32" i="1"/>
  <c r="E30" i="1"/>
  <c r="G26" i="1"/>
  <c r="G25" i="1"/>
  <c r="G28" i="1"/>
  <c r="M64" i="1" l="1"/>
  <c r="M67" i="1" s="1"/>
  <c r="M68" i="1" s="1"/>
  <c r="P57" i="1"/>
  <c r="P117" i="1"/>
  <c r="P119" i="1" s="1"/>
  <c r="P123" i="1"/>
  <c r="G30" i="1"/>
  <c r="F30" i="1"/>
  <c r="M82" i="1" l="1"/>
  <c r="M86" i="1" s="1"/>
  <c r="M94" i="1" s="1"/>
  <c r="M100" i="1" s="1"/>
  <c r="M101" i="1" s="1"/>
  <c r="N98" i="1" s="1"/>
  <c r="N99" i="1" s="1"/>
  <c r="M95" i="1" l="1"/>
  <c r="N92" i="1" s="1"/>
  <c r="N93" i="1" s="1"/>
  <c r="M106" i="1"/>
  <c r="M107" i="1" l="1"/>
  <c r="M112" i="1"/>
  <c r="N104" i="1" l="1"/>
  <c r="M113" i="1"/>
  <c r="N105" i="1" l="1"/>
  <c r="N111" i="1" s="1"/>
  <c r="N59" i="1" s="1"/>
  <c r="N61" i="1" s="1"/>
  <c r="N110" i="1"/>
  <c r="N62" i="1" l="1"/>
  <c r="N64" i="1"/>
  <c r="N67" i="1" s="1"/>
  <c r="N68" i="1" l="1"/>
  <c r="N82" i="1"/>
  <c r="N86" i="1" s="1"/>
  <c r="N94" i="1" l="1"/>
  <c r="N100" i="1" s="1"/>
  <c r="N101" i="1" s="1"/>
  <c r="O98" i="1" s="1"/>
  <c r="O99" i="1" s="1"/>
  <c r="N106" i="1" l="1"/>
  <c r="N107" i="1" s="1"/>
  <c r="O104" i="1" s="1"/>
  <c r="N95" i="1"/>
  <c r="O105" i="1" l="1"/>
  <c r="N112" i="1"/>
  <c r="O92" i="1"/>
  <c r="N113" i="1"/>
  <c r="O110" i="1" l="1"/>
  <c r="O93" i="1"/>
  <c r="O111" i="1" s="1"/>
  <c r="O59" i="1" s="1"/>
  <c r="O61" i="1" s="1"/>
  <c r="O62" i="1" l="1"/>
  <c r="O64" i="1"/>
  <c r="O67" i="1" s="1"/>
  <c r="O82" i="1" l="1"/>
  <c r="O86" i="1" s="1"/>
  <c r="O68" i="1"/>
  <c r="O94" i="1" l="1"/>
  <c r="O100" i="1" s="1"/>
  <c r="O101" i="1" s="1"/>
  <c r="P98" i="1" s="1"/>
  <c r="P99" i="1" s="1"/>
  <c r="O106" i="1" l="1"/>
  <c r="O95" i="1"/>
  <c r="O107" i="1" l="1"/>
  <c r="O113" i="1" s="1"/>
  <c r="O112" i="1"/>
  <c r="P92" i="1"/>
  <c r="P104" i="1" l="1"/>
  <c r="P105" i="1" s="1"/>
  <c r="P93" i="1"/>
  <c r="P111" i="1" l="1"/>
  <c r="P59" i="1" s="1"/>
  <c r="P61" i="1" s="1"/>
  <c r="P64" i="1" s="1"/>
  <c r="P67" i="1" s="1"/>
  <c r="P110" i="1"/>
  <c r="P62" i="1" l="1"/>
  <c r="P82" i="1"/>
  <c r="P86" i="1" s="1"/>
  <c r="P68" i="1"/>
  <c r="P94" i="1" l="1"/>
  <c r="P100" i="1" s="1"/>
  <c r="P101" i="1" l="1"/>
  <c r="P106" i="1"/>
  <c r="P107" i="1" s="1"/>
  <c r="P95" i="1"/>
  <c r="P113" i="1" l="1"/>
  <c r="P120" i="1" s="1"/>
  <c r="P121" i="1" s="1"/>
  <c r="P14" i="1" s="1"/>
  <c r="P112" i="1"/>
  <c r="P126" i="1" l="1"/>
  <c r="P15" i="1" s="1"/>
  <c r="L51" i="1" l="1"/>
  <c r="M51" i="1"/>
  <c r="N51" i="1"/>
  <c r="O51" i="1"/>
  <c r="P51" i="1"/>
</calcChain>
</file>

<file path=xl/sharedStrings.xml><?xml version="1.0" encoding="utf-8"?>
<sst xmlns="http://schemas.openxmlformats.org/spreadsheetml/2006/main" count="123" uniqueCount="69">
  <si>
    <t>Assumptions</t>
  </si>
  <si>
    <t>Financials</t>
  </si>
  <si>
    <t>LTM</t>
  </si>
  <si>
    <t>Revenue</t>
  </si>
  <si>
    <t>COGS</t>
  </si>
  <si>
    <t>OpEx</t>
  </si>
  <si>
    <t>D&amp;A</t>
  </si>
  <si>
    <t>NWC</t>
  </si>
  <si>
    <t>CapEx</t>
  </si>
  <si>
    <t>Operating Assumptions</t>
  </si>
  <si>
    <t>Revenue Growth</t>
  </si>
  <si>
    <t>Tax Rate</t>
  </si>
  <si>
    <t>x</t>
  </si>
  <si>
    <t>Entry</t>
  </si>
  <si>
    <t>LTM EBITDA</t>
  </si>
  <si>
    <t>Enterprise Value</t>
  </si>
  <si>
    <t>Existing Net Debt</t>
  </si>
  <si>
    <t>Equity Value</t>
  </si>
  <si>
    <t>Fees &amp; Expenses</t>
  </si>
  <si>
    <t>Exit</t>
  </si>
  <si>
    <t>Entry Multiple</t>
  </si>
  <si>
    <t>Exit Multiple</t>
  </si>
  <si>
    <t>Capital Structure</t>
  </si>
  <si>
    <t>Revolver</t>
  </si>
  <si>
    <t>Bank Loan</t>
  </si>
  <si>
    <t>Senior Notes</t>
  </si>
  <si>
    <t>Amount</t>
  </si>
  <si>
    <t>Interest</t>
  </si>
  <si>
    <t>Sources &amp; Uses</t>
  </si>
  <si>
    <t>Operating Model</t>
  </si>
  <si>
    <t xml:space="preserve">   % growth</t>
  </si>
  <si>
    <t xml:space="preserve">   % of sales</t>
  </si>
  <si>
    <t>Gross Profit</t>
  </si>
  <si>
    <t>EBIT</t>
  </si>
  <si>
    <t>EBITDA</t>
  </si>
  <si>
    <t>EBT</t>
  </si>
  <si>
    <t>Taxes</t>
  </si>
  <si>
    <t xml:space="preserve">   % tax rate</t>
  </si>
  <si>
    <t>Net Income</t>
  </si>
  <si>
    <t>Uses</t>
  </si>
  <si>
    <t>Sources</t>
  </si>
  <si>
    <t>xEBITDA</t>
  </si>
  <si>
    <t>% Capital</t>
  </si>
  <si>
    <t>Total</t>
  </si>
  <si>
    <t>Sponsor Equity</t>
  </si>
  <si>
    <t>Total Sources</t>
  </si>
  <si>
    <t>Debt Refinancing</t>
  </si>
  <si>
    <t>Equity Payment</t>
  </si>
  <si>
    <t>Total Uses</t>
  </si>
  <si>
    <t>Cash Flow Items</t>
  </si>
  <si>
    <t>Net Working Capital</t>
  </si>
  <si>
    <t>Change in Net Working Capital</t>
  </si>
  <si>
    <t>Change in NWC</t>
  </si>
  <si>
    <t>Debt Schedule</t>
  </si>
  <si>
    <t>Beginning Balance</t>
  </si>
  <si>
    <t>Paydown</t>
  </si>
  <si>
    <t>Ending Balance</t>
  </si>
  <si>
    <t>Bank Debt</t>
  </si>
  <si>
    <t>Total Debt</t>
  </si>
  <si>
    <t>IRR</t>
  </si>
  <si>
    <t>LTM EBITDA at Exit</t>
  </si>
  <si>
    <t>Net Debt</t>
  </si>
  <si>
    <t>Sponsor Equity Value</t>
  </si>
  <si>
    <t>Sponsor Equity at Entry</t>
  </si>
  <si>
    <t>MOIC</t>
  </si>
  <si>
    <t>IRR (For Reference)</t>
  </si>
  <si>
    <t>USD $, millions</t>
  </si>
  <si>
    <t>Insurance Company Case Study LBO</t>
  </si>
  <si>
    <t>Levered Free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</si>
</sst>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\x"/>
    <numFmt numFmtId="166" formatCode="&quot;Year &quot;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2" fillId="3" borderId="0" xfId="0" applyFont="1" applyFill="1"/>
    <xf numFmtId="0" fontId="3" fillId="0" borderId="0" xfId="0" applyFont="1"/>
    <xf numFmtId="0" fontId="7" fillId="0" borderId="0" xfId="0" applyFont="1"/>
    <xf numFmtId="37" fontId="8" fillId="4" borderId="2" xfId="0" applyNumberFormat="1" applyFont="1" applyFill="1" applyBorder="1"/>
    <xf numFmtId="164" fontId="8" fillId="4" borderId="2" xfId="0" applyNumberFormat="1" applyFont="1" applyFill="1" applyBorder="1"/>
    <xf numFmtId="37" fontId="8" fillId="4" borderId="3" xfId="0" applyNumberFormat="1" applyFont="1" applyFill="1" applyBorder="1"/>
    <xf numFmtId="165" fontId="8" fillId="4" borderId="3" xfId="0" applyNumberFormat="1" applyFont="1" applyFill="1" applyBorder="1"/>
    <xf numFmtId="0" fontId="2" fillId="3" borderId="0" xfId="0" applyFont="1" applyFill="1" applyAlignment="1">
      <alignment horizontal="right"/>
    </xf>
    <xf numFmtId="0" fontId="9" fillId="0" borderId="0" xfId="0" applyFont="1"/>
    <xf numFmtId="166" fontId="2" fillId="3" borderId="0" xfId="0" applyNumberFormat="1" applyFont="1" applyFill="1" applyAlignment="1">
      <alignment horizontal="right"/>
    </xf>
    <xf numFmtId="37" fontId="0" fillId="0" borderId="0" xfId="0" applyNumberFormat="1"/>
    <xf numFmtId="37" fontId="10" fillId="0" borderId="0" xfId="0" applyNumberFormat="1" applyFont="1"/>
    <xf numFmtId="164" fontId="11" fillId="0" borderId="0" xfId="0" applyNumberFormat="1" applyFont="1"/>
    <xf numFmtId="37" fontId="3" fillId="0" borderId="0" xfId="0" applyNumberFormat="1" applyFont="1"/>
    <xf numFmtId="0" fontId="7" fillId="0" borderId="0" xfId="0" applyFont="1" applyAlignment="1">
      <alignment horizontal="right"/>
    </xf>
    <xf numFmtId="165" fontId="10" fillId="0" borderId="0" xfId="0" applyNumberFormat="1" applyFont="1"/>
    <xf numFmtId="37" fontId="0" fillId="0" borderId="1" xfId="0" applyNumberFormat="1" applyBorder="1"/>
    <xf numFmtId="165" fontId="10" fillId="0" borderId="1" xfId="0" applyNumberFormat="1" applyFont="1" applyBorder="1"/>
    <xf numFmtId="165" fontId="5" fillId="0" borderId="0" xfId="0" applyNumberFormat="1" applyFont="1"/>
    <xf numFmtId="9" fontId="0" fillId="0" borderId="0" xfId="1" applyFont="1"/>
    <xf numFmtId="164" fontId="0" fillId="0" borderId="0" xfId="1" applyNumberFormat="1" applyFont="1"/>
    <xf numFmtId="164" fontId="3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6" fontId="2" fillId="3" borderId="5" xfId="0" applyNumberFormat="1" applyFont="1" applyFill="1" applyBorder="1" applyAlignment="1">
      <alignment horizontal="right"/>
    </xf>
    <xf numFmtId="0" fontId="0" fillId="0" borderId="5" xfId="0" quotePrefix="1" applyBorder="1"/>
    <xf numFmtId="0" fontId="0" fillId="0" borderId="5" xfId="0" applyBorder="1"/>
    <xf numFmtId="164" fontId="11" fillId="0" borderId="5" xfId="0" applyNumberFormat="1" applyFont="1" applyBorder="1"/>
    <xf numFmtId="37" fontId="10" fillId="0" borderId="5" xfId="0" applyNumberFormat="1" applyFont="1" applyBorder="1"/>
    <xf numFmtId="0" fontId="0" fillId="2" borderId="5" xfId="0" applyFill="1" applyBorder="1"/>
    <xf numFmtId="0" fontId="0" fillId="0" borderId="4" xfId="0" applyBorder="1"/>
    <xf numFmtId="37" fontId="3" fillId="0" borderId="5" xfId="0" applyNumberFormat="1" applyFont="1" applyBorder="1"/>
    <xf numFmtId="165" fontId="13" fillId="0" borderId="0" xfId="0" applyNumberFormat="1" applyFont="1"/>
    <xf numFmtId="37" fontId="13" fillId="0" borderId="0" xfId="0" applyNumberFormat="1" applyFont="1"/>
    <xf numFmtId="37" fontId="13" fillId="0" borderId="1" xfId="0" applyNumberFormat="1" applyFont="1" applyBorder="1"/>
    <xf numFmtId="37" fontId="13" fillId="0" borderId="5" xfId="0" applyNumberFormat="1" applyFont="1" applyBorder="1"/>
    <xf numFmtId="164" fontId="14" fillId="0" borderId="0" xfId="0" applyNumberFormat="1" applyFont="1"/>
    <xf numFmtId="164" fontId="14" fillId="0" borderId="5" xfId="0" applyNumberFormat="1" applyFont="1" applyBorder="1"/>
    <xf numFmtId="37" fontId="15" fillId="0" borderId="5" xfId="0" applyNumberFormat="1" applyFont="1" applyBorder="1"/>
    <xf numFmtId="165" fontId="13" fillId="0" borderId="1" xfId="0" applyNumberFormat="1" applyFont="1" applyBorder="1"/>
    <xf numFmtId="37" fontId="13" fillId="5" borderId="0" xfId="0" applyNumberFormat="1" applyFont="1" applyFill="1"/>
    <xf numFmtId="0" fontId="2" fillId="3" borderId="6" xfId="0" applyFont="1" applyFill="1" applyBorder="1"/>
    <xf numFmtId="0" fontId="0" fillId="3" borderId="7" xfId="0" applyFill="1" applyBorder="1"/>
    <xf numFmtId="0" fontId="2" fillId="3" borderId="7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3" fillId="5" borderId="9" xfId="0" applyFont="1" applyFill="1" applyBorder="1"/>
    <xf numFmtId="0" fontId="3" fillId="5" borderId="0" xfId="0" applyFont="1" applyFill="1"/>
    <xf numFmtId="165" fontId="5" fillId="5" borderId="10" xfId="0" applyNumberFormat="1" applyFont="1" applyFill="1" applyBorder="1"/>
    <xf numFmtId="0" fontId="3" fillId="5" borderId="11" xfId="0" applyFont="1" applyFill="1" applyBorder="1"/>
    <xf numFmtId="0" fontId="3" fillId="5" borderId="12" xfId="0" applyFont="1" applyFill="1" applyBorder="1"/>
    <xf numFmtId="164" fontId="5" fillId="5" borderId="13" xfId="1" applyNumberFormat="1" applyFont="1" applyFill="1" applyBorder="1"/>
    <xf numFmtId="0" fontId="3" fillId="5" borderId="14" xfId="0" applyFont="1" applyFill="1" applyBorder="1"/>
    <xf numFmtId="0" fontId="3" fillId="5" borderId="15" xfId="0" applyFont="1" applyFill="1" applyBorder="1"/>
    <xf numFmtId="37" fontId="3" fillId="5" borderId="15" xfId="0" applyNumberFormat="1" applyFont="1" applyFill="1" applyBorder="1"/>
    <xf numFmtId="165" fontId="5" fillId="5" borderId="15" xfId="0" applyNumberFormat="1" applyFont="1" applyFill="1" applyBorder="1"/>
    <xf numFmtId="164" fontId="3" fillId="5" borderId="16" xfId="1" applyNumberFormat="1" applyFont="1" applyFill="1" applyBorder="1"/>
    <xf numFmtId="0" fontId="3" fillId="5" borderId="17" xfId="0" applyFont="1" applyFill="1" applyBorder="1"/>
    <xf numFmtId="37" fontId="3" fillId="5" borderId="16" xfId="0" applyNumberFormat="1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165" fontId="5" fillId="5" borderId="8" xfId="0" applyNumberFormat="1" applyFont="1" applyFill="1" applyBorder="1"/>
    <xf numFmtId="164" fontId="12" fillId="5" borderId="13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1B37F-5AC7-41AF-B5DE-2D565B1E6A4E}">
  <dimension ref="A2:R126"/>
  <sheetViews>
    <sheetView showGridLines="0" tabSelected="1" workbookViewId="0"/>
  </sheetViews>
  <sheetFormatPr defaultColWidth="8.85546875" defaultRowHeight="15" x14ac:dyDescent="0.25"/>
  <cols>
    <col min="1" max="1" width="3.7109375" style="33" customWidth="1"/>
  </cols>
  <sheetData>
    <row r="2" spans="1:16" s="1" customFormat="1" ht="21" x14ac:dyDescent="0.35">
      <c r="A2" s="32"/>
      <c r="B2" s="2" t="s">
        <v>67</v>
      </c>
    </row>
    <row r="3" spans="1:16" x14ac:dyDescent="0.25">
      <c r="B3" s="14" t="s">
        <v>66</v>
      </c>
    </row>
    <row r="6" spans="1:16" ht="15.75" x14ac:dyDescent="0.25">
      <c r="A6" s="33" t="s">
        <v>12</v>
      </c>
      <c r="B6" s="4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.0999999999999996" customHeight="1" x14ac:dyDescent="0.25"/>
    <row r="8" spans="1:16" x14ac:dyDescent="0.25">
      <c r="B8" s="6" t="s">
        <v>1</v>
      </c>
      <c r="C8" s="5"/>
      <c r="D8" s="5"/>
      <c r="E8" s="5"/>
      <c r="G8" s="6" t="s">
        <v>13</v>
      </c>
      <c r="H8" s="5"/>
      <c r="I8" s="5"/>
      <c r="J8" s="5"/>
      <c r="L8" s="6" t="s">
        <v>22</v>
      </c>
      <c r="M8" s="5"/>
      <c r="N8" s="5"/>
      <c r="O8" s="13" t="s">
        <v>26</v>
      </c>
      <c r="P8" s="13" t="s">
        <v>27</v>
      </c>
    </row>
    <row r="9" spans="1:16" x14ac:dyDescent="0.25">
      <c r="B9" s="8" t="s">
        <v>2</v>
      </c>
      <c r="G9" t="s">
        <v>14</v>
      </c>
      <c r="J9" s="43">
        <f>K56</f>
        <v>800</v>
      </c>
      <c r="L9" t="s">
        <v>23</v>
      </c>
      <c r="O9" s="9">
        <v>300</v>
      </c>
      <c r="P9" s="10">
        <v>7.4999999999999997E-2</v>
      </c>
    </row>
    <row r="10" spans="1:16" x14ac:dyDescent="0.25">
      <c r="B10" t="s">
        <v>3</v>
      </c>
      <c r="E10" s="9">
        <v>2500</v>
      </c>
      <c r="G10" s="1" t="s">
        <v>20</v>
      </c>
      <c r="H10" s="1"/>
      <c r="I10" s="1"/>
      <c r="J10" s="12">
        <v>9.5</v>
      </c>
      <c r="L10" t="s">
        <v>24</v>
      </c>
      <c r="O10" s="9">
        <v>2500</v>
      </c>
      <c r="P10" s="10">
        <v>9.5000000000000001E-2</v>
      </c>
    </row>
    <row r="11" spans="1:16" x14ac:dyDescent="0.25">
      <c r="B11" t="s">
        <v>4</v>
      </c>
      <c r="E11" s="9">
        <v>1000</v>
      </c>
      <c r="G11" s="7" t="s">
        <v>15</v>
      </c>
      <c r="H11" s="7"/>
      <c r="I11" s="7"/>
      <c r="J11" s="19">
        <f>J9*J10</f>
        <v>7600</v>
      </c>
      <c r="L11" t="s">
        <v>25</v>
      </c>
      <c r="O11" s="9">
        <v>2000</v>
      </c>
      <c r="P11" s="10">
        <v>0.125</v>
      </c>
    </row>
    <row r="12" spans="1:16" x14ac:dyDescent="0.25">
      <c r="B12" t="s">
        <v>5</v>
      </c>
      <c r="E12" s="9">
        <v>800</v>
      </c>
      <c r="G12" s="1" t="s">
        <v>16</v>
      </c>
      <c r="H12" s="1"/>
      <c r="I12" s="1"/>
      <c r="J12" s="11">
        <v>1250</v>
      </c>
    </row>
    <row r="13" spans="1:16" x14ac:dyDescent="0.25">
      <c r="B13" t="s">
        <v>6</v>
      </c>
      <c r="E13" s="9">
        <v>100</v>
      </c>
      <c r="G13" s="7" t="s">
        <v>17</v>
      </c>
      <c r="H13" s="7"/>
      <c r="I13" s="7"/>
      <c r="J13" s="19">
        <f>J11-J12</f>
        <v>6350</v>
      </c>
      <c r="L13" s="51" t="s">
        <v>65</v>
      </c>
      <c r="M13" s="52"/>
      <c r="N13" s="52"/>
      <c r="O13" s="53"/>
      <c r="P13" s="54"/>
    </row>
    <row r="14" spans="1:16" x14ac:dyDescent="0.25">
      <c r="B14" t="s">
        <v>7</v>
      </c>
      <c r="E14" s="9">
        <v>200</v>
      </c>
      <c r="L14" s="55" t="s">
        <v>64</v>
      </c>
      <c r="M14" s="56"/>
      <c r="N14" s="56"/>
      <c r="O14" s="56"/>
      <c r="P14" s="57">
        <f>P125</f>
        <v>3.0387798806367901</v>
      </c>
    </row>
    <row r="15" spans="1:16" x14ac:dyDescent="0.25">
      <c r="B15" t="s">
        <v>8</v>
      </c>
      <c r="E15" s="9">
        <v>150</v>
      </c>
      <c r="G15" t="s">
        <v>18</v>
      </c>
      <c r="J15" s="9">
        <v>100</v>
      </c>
      <c r="L15" s="58" t="s">
        <v>59</v>
      </c>
      <c r="M15" s="59"/>
      <c r="N15" s="59"/>
      <c r="O15" s="59"/>
      <c r="P15" s="60">
        <f>P126</f>
        <v>0.24893503472547418</v>
      </c>
    </row>
    <row r="17" spans="1:16" x14ac:dyDescent="0.25">
      <c r="B17" s="8" t="s">
        <v>9</v>
      </c>
      <c r="G17" s="6" t="s">
        <v>19</v>
      </c>
      <c r="H17" s="5"/>
      <c r="I17" s="5"/>
      <c r="J17" s="5"/>
    </row>
    <row r="18" spans="1:16" x14ac:dyDescent="0.25">
      <c r="B18" t="s">
        <v>10</v>
      </c>
      <c r="E18" s="10">
        <v>0.1</v>
      </c>
      <c r="G18" t="s">
        <v>21</v>
      </c>
      <c r="J18" s="42">
        <f>J10</f>
        <v>9.5</v>
      </c>
    </row>
    <row r="19" spans="1:16" x14ac:dyDescent="0.25">
      <c r="B19" t="s">
        <v>11</v>
      </c>
      <c r="E19" s="10">
        <v>0.21</v>
      </c>
    </row>
    <row r="21" spans="1:16" ht="15.75" x14ac:dyDescent="0.25">
      <c r="A21" s="33" t="s">
        <v>12</v>
      </c>
      <c r="B21" s="4" t="s">
        <v>28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5.0999999999999996" customHeight="1" x14ac:dyDescent="0.25"/>
    <row r="23" spans="1:16" x14ac:dyDescent="0.25">
      <c r="B23" s="6" t="s">
        <v>40</v>
      </c>
      <c r="C23" s="5"/>
      <c r="D23" s="5"/>
      <c r="E23" s="5"/>
      <c r="F23" s="5"/>
      <c r="G23" s="5"/>
      <c r="K23" s="6" t="s">
        <v>39</v>
      </c>
      <c r="L23" s="5"/>
      <c r="M23" s="5"/>
      <c r="N23" s="5"/>
      <c r="O23" s="5"/>
      <c r="P23" s="5"/>
    </row>
    <row r="24" spans="1:16" x14ac:dyDescent="0.25">
      <c r="E24" s="20" t="s">
        <v>26</v>
      </c>
      <c r="F24" s="20" t="s">
        <v>41</v>
      </c>
      <c r="G24" s="20" t="s">
        <v>42</v>
      </c>
      <c r="N24" s="20" t="s">
        <v>26</v>
      </c>
      <c r="O24" s="20" t="s">
        <v>41</v>
      </c>
      <c r="P24" s="20" t="s">
        <v>42</v>
      </c>
    </row>
    <row r="25" spans="1:16" x14ac:dyDescent="0.25">
      <c r="B25" t="str">
        <f>L9</f>
        <v>Revolver</v>
      </c>
      <c r="E25" s="43">
        <f>O9</f>
        <v>300</v>
      </c>
      <c r="F25" s="21">
        <f>E25/$J$9</f>
        <v>0.375</v>
      </c>
      <c r="G25" s="26">
        <f>E25/$E$32</f>
        <v>3.896103896103896E-2</v>
      </c>
      <c r="K25" t="s">
        <v>46</v>
      </c>
      <c r="N25" s="43">
        <f>J12</f>
        <v>1250</v>
      </c>
      <c r="O25" s="21">
        <f>N25/$J$9</f>
        <v>1.5625</v>
      </c>
      <c r="P25" s="26">
        <f>N25/$N$32</f>
        <v>0.16233766233766234</v>
      </c>
    </row>
    <row r="26" spans="1:16" x14ac:dyDescent="0.25">
      <c r="B26" t="str">
        <f t="shared" ref="B26:B27" si="0">L10</f>
        <v>Bank Loan</v>
      </c>
      <c r="E26" s="43">
        <f>O10</f>
        <v>2500</v>
      </c>
      <c r="F26" s="21">
        <f t="shared" ref="F26:F27" si="1">E26/$J$9</f>
        <v>3.125</v>
      </c>
      <c r="G26" s="26">
        <f t="shared" ref="G26:G32" si="2">E26/$E$32</f>
        <v>0.32467532467532467</v>
      </c>
      <c r="K26" t="s">
        <v>47</v>
      </c>
      <c r="N26" s="43">
        <f>J13</f>
        <v>6350</v>
      </c>
      <c r="O26" s="21">
        <f>N26/$J$9</f>
        <v>7.9375</v>
      </c>
      <c r="P26" s="26">
        <f>N26/$N$32</f>
        <v>0.82467532467532467</v>
      </c>
    </row>
    <row r="27" spans="1:16" x14ac:dyDescent="0.25">
      <c r="B27" s="1" t="str">
        <f t="shared" si="0"/>
        <v>Senior Notes</v>
      </c>
      <c r="C27" s="1"/>
      <c r="D27" s="1"/>
      <c r="E27" s="44">
        <f>O11</f>
        <v>2000</v>
      </c>
      <c r="F27" s="23">
        <f t="shared" si="1"/>
        <v>2.5</v>
      </c>
      <c r="G27" s="28">
        <f t="shared" si="2"/>
        <v>0.25974025974025972</v>
      </c>
      <c r="N27" s="43"/>
    </row>
    <row r="28" spans="1:16" x14ac:dyDescent="0.25">
      <c r="B28" s="7" t="s">
        <v>43</v>
      </c>
      <c r="C28" s="7"/>
      <c r="E28" s="19">
        <f>SUM(E25:E27)</f>
        <v>4800</v>
      </c>
      <c r="F28" s="24">
        <f>SUM(F25:F27)</f>
        <v>6</v>
      </c>
      <c r="G28" s="27">
        <f t="shared" si="2"/>
        <v>0.62337662337662336</v>
      </c>
      <c r="K28" t="s">
        <v>18</v>
      </c>
      <c r="N28" s="43">
        <f>J15</f>
        <v>100</v>
      </c>
      <c r="O28" s="21">
        <f>N28/$J$9</f>
        <v>0.125</v>
      </c>
      <c r="P28" s="26">
        <f>N28/$N$32</f>
        <v>1.2987012987012988E-2</v>
      </c>
    </row>
    <row r="29" spans="1:16" x14ac:dyDescent="0.25">
      <c r="G29" s="26"/>
    </row>
    <row r="30" spans="1:16" x14ac:dyDescent="0.25">
      <c r="B30" t="s">
        <v>44</v>
      </c>
      <c r="E30" s="16">
        <f>E32-E28</f>
        <v>2900</v>
      </c>
      <c r="F30" s="21">
        <f t="shared" ref="F30:F32" si="3">E30/$J$9</f>
        <v>3.625</v>
      </c>
      <c r="G30" s="26">
        <f t="shared" si="2"/>
        <v>0.37662337662337664</v>
      </c>
    </row>
    <row r="31" spans="1:16" x14ac:dyDescent="0.25">
      <c r="G31" s="26"/>
    </row>
    <row r="32" spans="1:16" x14ac:dyDescent="0.25">
      <c r="B32" s="61" t="s">
        <v>45</v>
      </c>
      <c r="C32" s="62"/>
      <c r="D32" s="62"/>
      <c r="E32" s="63">
        <f>N32</f>
        <v>7700</v>
      </c>
      <c r="F32" s="64">
        <f t="shared" si="3"/>
        <v>9.625</v>
      </c>
      <c r="G32" s="65">
        <f t="shared" si="2"/>
        <v>1</v>
      </c>
      <c r="K32" s="61" t="s">
        <v>48</v>
      </c>
      <c r="L32" s="62"/>
      <c r="M32" s="62"/>
      <c r="N32" s="63">
        <f>N25+N26+N28</f>
        <v>7700</v>
      </c>
      <c r="O32" s="64">
        <f>O25+O26+O28</f>
        <v>9.625</v>
      </c>
      <c r="P32" s="65">
        <f>P25+P26+P28</f>
        <v>1</v>
      </c>
    </row>
    <row r="35" spans="1:16" ht="15.75" x14ac:dyDescent="0.25">
      <c r="A35" s="33" t="s">
        <v>12</v>
      </c>
      <c r="B35" s="4" t="s">
        <v>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5.0999999999999996" customHeight="1" x14ac:dyDescent="0.25"/>
    <row r="37" spans="1:16" x14ac:dyDescent="0.25">
      <c r="B37" s="6" t="s">
        <v>29</v>
      </c>
      <c r="C37" s="5"/>
      <c r="D37" s="5"/>
      <c r="E37" s="5"/>
      <c r="F37" s="5"/>
      <c r="G37" s="5"/>
      <c r="H37" s="5"/>
      <c r="I37" s="5"/>
      <c r="J37" s="5"/>
      <c r="K37" s="34">
        <v>0</v>
      </c>
      <c r="L37" s="15">
        <f>K37+1</f>
        <v>1</v>
      </c>
      <c r="M37" s="15">
        <f t="shared" ref="M37:P37" si="4">L37+1</f>
        <v>2</v>
      </c>
      <c r="N37" s="15">
        <f t="shared" si="4"/>
        <v>3</v>
      </c>
      <c r="O37" s="15">
        <f t="shared" si="4"/>
        <v>4</v>
      </c>
      <c r="P37" s="15">
        <f t="shared" si="4"/>
        <v>5</v>
      </c>
    </row>
    <row r="38" spans="1:16" x14ac:dyDescent="0.25">
      <c r="B38" t="s">
        <v>3</v>
      </c>
      <c r="K38" s="45">
        <f>E10</f>
        <v>2500</v>
      </c>
      <c r="L38" s="17">
        <f>K38*(1+L39)</f>
        <v>2750</v>
      </c>
      <c r="M38" s="17">
        <f t="shared" ref="M38:P38" si="5">L38*(1+M39)</f>
        <v>3025.0000000000005</v>
      </c>
      <c r="N38" s="17">
        <f t="shared" si="5"/>
        <v>3327.5000000000009</v>
      </c>
      <c r="O38" s="17">
        <f t="shared" si="5"/>
        <v>3660.2500000000014</v>
      </c>
      <c r="P38" s="17">
        <f t="shared" si="5"/>
        <v>4026.2750000000019</v>
      </c>
    </row>
    <row r="39" spans="1:16" x14ac:dyDescent="0.25">
      <c r="B39" s="14" t="s">
        <v>30</v>
      </c>
      <c r="K39" s="35"/>
      <c r="L39" s="46">
        <f>$E$18</f>
        <v>0.1</v>
      </c>
      <c r="M39" s="46">
        <f>L39</f>
        <v>0.1</v>
      </c>
      <c r="N39" s="46">
        <f t="shared" ref="N39:P39" si="6">M39</f>
        <v>0.1</v>
      </c>
      <c r="O39" s="46">
        <f t="shared" si="6"/>
        <v>0.1</v>
      </c>
      <c r="P39" s="46">
        <f t="shared" si="6"/>
        <v>0.1</v>
      </c>
    </row>
    <row r="40" spans="1:16" x14ac:dyDescent="0.25">
      <c r="K40" s="36"/>
    </row>
    <row r="41" spans="1:16" x14ac:dyDescent="0.25">
      <c r="B41" t="s">
        <v>4</v>
      </c>
      <c r="K41" s="45">
        <f>E11</f>
        <v>1000</v>
      </c>
      <c r="L41" s="17">
        <f>L42*L38</f>
        <v>1100</v>
      </c>
      <c r="M41" s="17">
        <f t="shared" ref="M41:P41" si="7">M42*M38</f>
        <v>1210.0000000000002</v>
      </c>
      <c r="N41" s="17">
        <f t="shared" si="7"/>
        <v>1331.0000000000005</v>
      </c>
      <c r="O41" s="17">
        <f t="shared" si="7"/>
        <v>1464.1000000000006</v>
      </c>
      <c r="P41" s="17">
        <f t="shared" si="7"/>
        <v>1610.5100000000009</v>
      </c>
    </row>
    <row r="42" spans="1:16" x14ac:dyDescent="0.25">
      <c r="B42" s="14" t="s">
        <v>31</v>
      </c>
      <c r="K42" s="37">
        <f>K41/K38</f>
        <v>0.4</v>
      </c>
      <c r="L42" s="46">
        <f>K42</f>
        <v>0.4</v>
      </c>
      <c r="M42" s="46">
        <f t="shared" ref="M42:P42" si="8">L42</f>
        <v>0.4</v>
      </c>
      <c r="N42" s="46">
        <f t="shared" si="8"/>
        <v>0.4</v>
      </c>
      <c r="O42" s="46">
        <f t="shared" si="8"/>
        <v>0.4</v>
      </c>
      <c r="P42" s="46">
        <f t="shared" si="8"/>
        <v>0.4</v>
      </c>
    </row>
    <row r="43" spans="1:16" x14ac:dyDescent="0.25">
      <c r="K43" s="36"/>
    </row>
    <row r="44" spans="1:16" x14ac:dyDescent="0.25">
      <c r="B44" t="s">
        <v>32</v>
      </c>
      <c r="K44" s="38">
        <f>K38-K41</f>
        <v>1500</v>
      </c>
      <c r="L44" s="17">
        <f t="shared" ref="L44:P44" si="9">L38-L41</f>
        <v>1650</v>
      </c>
      <c r="M44" s="17">
        <f t="shared" si="9"/>
        <v>1815.0000000000002</v>
      </c>
      <c r="N44" s="17">
        <f t="shared" si="9"/>
        <v>1996.5000000000005</v>
      </c>
      <c r="O44" s="17">
        <f t="shared" si="9"/>
        <v>2196.1500000000005</v>
      </c>
      <c r="P44" s="17">
        <f t="shared" si="9"/>
        <v>2415.7650000000012</v>
      </c>
    </row>
    <row r="45" spans="1:16" x14ac:dyDescent="0.25">
      <c r="B45" s="14" t="s">
        <v>31</v>
      </c>
      <c r="K45" s="37">
        <f>K44/K38</f>
        <v>0.6</v>
      </c>
      <c r="L45" s="18">
        <f t="shared" ref="L45:P45" si="10">L44/L38</f>
        <v>0.6</v>
      </c>
      <c r="M45" s="18">
        <f t="shared" si="10"/>
        <v>0.6</v>
      </c>
      <c r="N45" s="18">
        <f t="shared" si="10"/>
        <v>0.6</v>
      </c>
      <c r="O45" s="18">
        <f t="shared" si="10"/>
        <v>0.6</v>
      </c>
      <c r="P45" s="18">
        <f t="shared" si="10"/>
        <v>0.6</v>
      </c>
    </row>
    <row r="46" spans="1:16" x14ac:dyDescent="0.25">
      <c r="K46" s="36"/>
    </row>
    <row r="47" spans="1:16" x14ac:dyDescent="0.25">
      <c r="B47" t="s">
        <v>5</v>
      </c>
      <c r="K47" s="45">
        <f>E12</f>
        <v>800</v>
      </c>
      <c r="L47" s="17">
        <f>L48*L38</f>
        <v>880</v>
      </c>
      <c r="M47" s="17">
        <f t="shared" ref="M47:P47" si="11">M48*M38</f>
        <v>968.00000000000011</v>
      </c>
      <c r="N47" s="17">
        <f t="shared" si="11"/>
        <v>1064.8000000000004</v>
      </c>
      <c r="O47" s="17">
        <f t="shared" si="11"/>
        <v>1171.2800000000004</v>
      </c>
      <c r="P47" s="17">
        <f t="shared" si="11"/>
        <v>1288.4080000000006</v>
      </c>
    </row>
    <row r="48" spans="1:16" x14ac:dyDescent="0.25">
      <c r="B48" s="14" t="s">
        <v>31</v>
      </c>
      <c r="K48" s="37">
        <f>K47/K38</f>
        <v>0.32</v>
      </c>
      <c r="L48" s="46">
        <f>K48</f>
        <v>0.32</v>
      </c>
      <c r="M48" s="46">
        <f t="shared" ref="M48:P48" si="12">L48</f>
        <v>0.32</v>
      </c>
      <c r="N48" s="46">
        <f t="shared" si="12"/>
        <v>0.32</v>
      </c>
      <c r="O48" s="46">
        <f t="shared" si="12"/>
        <v>0.32</v>
      </c>
      <c r="P48" s="46">
        <f t="shared" si="12"/>
        <v>0.32</v>
      </c>
    </row>
    <row r="49" spans="2:16" x14ac:dyDescent="0.25">
      <c r="K49" s="36"/>
    </row>
    <row r="50" spans="2:16" x14ac:dyDescent="0.25">
      <c r="B50" t="s">
        <v>33</v>
      </c>
      <c r="K50" s="38">
        <f>K44-K47</f>
        <v>700</v>
      </c>
      <c r="L50" s="17">
        <f t="shared" ref="L50:P50" si="13">L44-L47</f>
        <v>770</v>
      </c>
      <c r="M50" s="17">
        <f t="shared" si="13"/>
        <v>847.00000000000011</v>
      </c>
      <c r="N50" s="17">
        <f t="shared" si="13"/>
        <v>931.7</v>
      </c>
      <c r="O50" s="17">
        <f t="shared" si="13"/>
        <v>1024.8700000000001</v>
      </c>
      <c r="P50" s="17">
        <f t="shared" si="13"/>
        <v>1127.3570000000007</v>
      </c>
    </row>
    <row r="51" spans="2:16" x14ac:dyDescent="0.25">
      <c r="B51" s="14" t="s">
        <v>31</v>
      </c>
      <c r="K51" s="37">
        <f>K50/K38</f>
        <v>0.28000000000000003</v>
      </c>
      <c r="L51" s="18">
        <f t="shared" ref="L51:P51" si="14">L50/L38</f>
        <v>0.28000000000000003</v>
      </c>
      <c r="M51" s="18">
        <f t="shared" si="14"/>
        <v>0.27999999999999997</v>
      </c>
      <c r="N51" s="18">
        <f t="shared" si="14"/>
        <v>0.27999999999999992</v>
      </c>
      <c r="O51" s="18">
        <f t="shared" si="14"/>
        <v>0.27999999999999992</v>
      </c>
      <c r="P51" s="18">
        <f t="shared" si="14"/>
        <v>0.28000000000000003</v>
      </c>
    </row>
    <row r="52" spans="2:16" x14ac:dyDescent="0.25">
      <c r="K52" s="36"/>
    </row>
    <row r="53" spans="2:16" x14ac:dyDescent="0.25">
      <c r="B53" t="s">
        <v>6</v>
      </c>
      <c r="K53" s="45">
        <f>E13</f>
        <v>100</v>
      </c>
      <c r="L53" s="17">
        <f>L54*L$38</f>
        <v>110</v>
      </c>
      <c r="M53" s="17">
        <f t="shared" ref="M53:P53" si="15">M54*M$38</f>
        <v>121.00000000000001</v>
      </c>
      <c r="N53" s="17">
        <f t="shared" si="15"/>
        <v>133.10000000000005</v>
      </c>
      <c r="O53" s="17">
        <f t="shared" si="15"/>
        <v>146.41000000000005</v>
      </c>
      <c r="P53" s="17">
        <f t="shared" si="15"/>
        <v>161.05100000000007</v>
      </c>
    </row>
    <row r="54" spans="2:16" x14ac:dyDescent="0.25">
      <c r="B54" s="14" t="s">
        <v>31</v>
      </c>
      <c r="K54" s="37">
        <f>K53/K38</f>
        <v>0.04</v>
      </c>
      <c r="L54" s="46">
        <f>K54</f>
        <v>0.04</v>
      </c>
      <c r="M54" s="46">
        <f t="shared" ref="M54:P54" si="16">L54</f>
        <v>0.04</v>
      </c>
      <c r="N54" s="46">
        <f t="shared" si="16"/>
        <v>0.04</v>
      </c>
      <c r="O54" s="46">
        <f t="shared" si="16"/>
        <v>0.04</v>
      </c>
      <c r="P54" s="46">
        <f t="shared" si="16"/>
        <v>0.04</v>
      </c>
    </row>
    <row r="55" spans="2:16" x14ac:dyDescent="0.25">
      <c r="K55" s="36"/>
    </row>
    <row r="56" spans="2:16" x14ac:dyDescent="0.25">
      <c r="B56" t="s">
        <v>34</v>
      </c>
      <c r="K56" s="38">
        <f>K50+K53</f>
        <v>800</v>
      </c>
      <c r="L56" s="17">
        <f t="shared" ref="L56:P56" si="17">L50+L53</f>
        <v>880</v>
      </c>
      <c r="M56" s="17">
        <f t="shared" si="17"/>
        <v>968.00000000000011</v>
      </c>
      <c r="N56" s="17">
        <f t="shared" si="17"/>
        <v>1064.8000000000002</v>
      </c>
      <c r="O56" s="17">
        <f t="shared" si="17"/>
        <v>1171.2800000000002</v>
      </c>
      <c r="P56" s="17">
        <f t="shared" si="17"/>
        <v>1288.4080000000008</v>
      </c>
    </row>
    <row r="57" spans="2:16" x14ac:dyDescent="0.25">
      <c r="B57" s="14" t="s">
        <v>31</v>
      </c>
      <c r="K57" s="37">
        <f>K56/K$38</f>
        <v>0.32</v>
      </c>
      <c r="L57" s="18">
        <f t="shared" ref="L57:P57" si="18">L56/L$38</f>
        <v>0.32</v>
      </c>
      <c r="M57" s="18">
        <f t="shared" si="18"/>
        <v>0.32</v>
      </c>
      <c r="N57" s="18">
        <f t="shared" si="18"/>
        <v>0.31999999999999995</v>
      </c>
      <c r="O57" s="18">
        <f t="shared" si="18"/>
        <v>0.31999999999999995</v>
      </c>
      <c r="P57" s="18">
        <f t="shared" si="18"/>
        <v>0.32000000000000006</v>
      </c>
    </row>
    <row r="58" spans="2:16" x14ac:dyDescent="0.25">
      <c r="K58" s="36"/>
    </row>
    <row r="59" spans="2:16" x14ac:dyDescent="0.25">
      <c r="B59" t="s">
        <v>27</v>
      </c>
      <c r="K59" s="36"/>
      <c r="L59" s="50">
        <f>L111</f>
        <v>510</v>
      </c>
      <c r="M59" s="50">
        <f t="shared" ref="M59:P59" si="19">M111</f>
        <v>500.22</v>
      </c>
      <c r="N59" s="50">
        <f t="shared" si="19"/>
        <v>485.42366099999998</v>
      </c>
      <c r="O59" s="50">
        <f t="shared" si="19"/>
        <v>460.55187175804997</v>
      </c>
      <c r="P59" s="50">
        <f t="shared" si="19"/>
        <v>427.68317123349163</v>
      </c>
    </row>
    <row r="60" spans="2:16" x14ac:dyDescent="0.25">
      <c r="K60" s="36"/>
    </row>
    <row r="61" spans="2:16" x14ac:dyDescent="0.25">
      <c r="B61" t="s">
        <v>35</v>
      </c>
      <c r="K61" s="36"/>
      <c r="L61" s="17">
        <f>L50-L59</f>
        <v>260</v>
      </c>
      <c r="M61" s="17">
        <f t="shared" ref="M61:P61" si="20">M50-M59</f>
        <v>346.78000000000009</v>
      </c>
      <c r="N61" s="17">
        <f t="shared" si="20"/>
        <v>446.27633900000006</v>
      </c>
      <c r="O61" s="17">
        <f t="shared" si="20"/>
        <v>564.31812824195015</v>
      </c>
      <c r="P61" s="17">
        <f t="shared" si="20"/>
        <v>699.67382876650902</v>
      </c>
    </row>
    <row r="62" spans="2:16" x14ac:dyDescent="0.25">
      <c r="B62" s="14" t="s">
        <v>31</v>
      </c>
      <c r="K62" s="36"/>
      <c r="L62" s="18">
        <f>L61/L$38</f>
        <v>9.4545454545454544E-2</v>
      </c>
      <c r="M62" s="18">
        <f t="shared" ref="M62:P62" si="21">M61/M$38</f>
        <v>0.11463801652892563</v>
      </c>
      <c r="N62" s="18">
        <f t="shared" si="21"/>
        <v>0.134117607513148</v>
      </c>
      <c r="O62" s="18">
        <f t="shared" si="21"/>
        <v>0.15417474987827332</v>
      </c>
      <c r="P62" s="18">
        <f t="shared" si="21"/>
        <v>0.17377695978702615</v>
      </c>
    </row>
    <row r="63" spans="2:16" x14ac:dyDescent="0.25">
      <c r="K63" s="36"/>
    </row>
    <row r="64" spans="2:16" x14ac:dyDescent="0.25">
      <c r="B64" t="s">
        <v>36</v>
      </c>
      <c r="K64" s="36"/>
      <c r="L64" s="17">
        <f>L61*L65</f>
        <v>54.6</v>
      </c>
      <c r="M64" s="17">
        <f t="shared" ref="M64:P64" si="22">M61*M65</f>
        <v>72.82380000000002</v>
      </c>
      <c r="N64" s="17">
        <f t="shared" si="22"/>
        <v>93.718031190000005</v>
      </c>
      <c r="O64" s="17">
        <f t="shared" si="22"/>
        <v>118.50680693080953</v>
      </c>
      <c r="P64" s="17">
        <f t="shared" si="22"/>
        <v>146.9315040409669</v>
      </c>
    </row>
    <row r="65" spans="1:16" x14ac:dyDescent="0.25">
      <c r="B65" s="14" t="s">
        <v>37</v>
      </c>
      <c r="K65" s="36"/>
      <c r="L65" s="46">
        <f>E19</f>
        <v>0.21</v>
      </c>
      <c r="M65" s="46">
        <f>L65</f>
        <v>0.21</v>
      </c>
      <c r="N65" s="46">
        <f t="shared" ref="N65:P65" si="23">M65</f>
        <v>0.21</v>
      </c>
      <c r="O65" s="46">
        <f t="shared" si="23"/>
        <v>0.21</v>
      </c>
      <c r="P65" s="46">
        <f t="shared" si="23"/>
        <v>0.21</v>
      </c>
    </row>
    <row r="66" spans="1:16" x14ac:dyDescent="0.25">
      <c r="K66" s="36"/>
    </row>
    <row r="67" spans="1:16" x14ac:dyDescent="0.25">
      <c r="B67" t="s">
        <v>38</v>
      </c>
      <c r="K67" s="36"/>
      <c r="L67" s="16">
        <f>L61-L64</f>
        <v>205.4</v>
      </c>
      <c r="M67" s="16">
        <f t="shared" ref="M67:P67" si="24">M61-M64</f>
        <v>273.95620000000008</v>
      </c>
      <c r="N67" s="16">
        <f t="shared" si="24"/>
        <v>352.55830781000009</v>
      </c>
      <c r="O67" s="16">
        <f t="shared" si="24"/>
        <v>445.8113213111406</v>
      </c>
      <c r="P67" s="16">
        <f t="shared" si="24"/>
        <v>552.74232472554218</v>
      </c>
    </row>
    <row r="68" spans="1:16" x14ac:dyDescent="0.25">
      <c r="B68" s="14" t="s">
        <v>31</v>
      </c>
      <c r="K68" s="36"/>
      <c r="L68" s="18">
        <f>L67/L$38</f>
        <v>7.4690909090909099E-2</v>
      </c>
      <c r="M68" s="18">
        <f t="shared" ref="M68" si="25">M67/M$38</f>
        <v>9.0564033057851254E-2</v>
      </c>
      <c r="N68" s="18">
        <f t="shared" ref="N68" si="26">N67/N$38</f>
        <v>0.10595290993538692</v>
      </c>
      <c r="O68" s="18">
        <f t="shared" ref="O68" si="27">O67/O$38</f>
        <v>0.12179805240383593</v>
      </c>
      <c r="P68" s="18">
        <f t="shared" ref="P68" si="28">P67/P$38</f>
        <v>0.13728379823175066</v>
      </c>
    </row>
    <row r="69" spans="1:16" x14ac:dyDescent="0.25">
      <c r="K69" s="36"/>
    </row>
    <row r="70" spans="1:16" x14ac:dyDescent="0.25">
      <c r="A70" s="33" t="s">
        <v>12</v>
      </c>
      <c r="B70" s="6" t="s">
        <v>49</v>
      </c>
      <c r="C70" s="5"/>
      <c r="D70" s="5"/>
      <c r="E70" s="5"/>
      <c r="F70" s="5"/>
      <c r="G70" s="5"/>
      <c r="H70" s="5"/>
      <c r="I70" s="5"/>
      <c r="J70" s="5"/>
      <c r="K70" s="34">
        <v>0</v>
      </c>
      <c r="L70" s="15">
        <f>K70+1</f>
        <v>1</v>
      </c>
      <c r="M70" s="15">
        <f t="shared" ref="M70:P70" si="29">L70+1</f>
        <v>2</v>
      </c>
      <c r="N70" s="15">
        <f t="shared" si="29"/>
        <v>3</v>
      </c>
      <c r="O70" s="15">
        <f t="shared" si="29"/>
        <v>4</v>
      </c>
      <c r="P70" s="15">
        <f t="shared" si="29"/>
        <v>5</v>
      </c>
    </row>
    <row r="71" spans="1:16" x14ac:dyDescent="0.25">
      <c r="B71" t="s">
        <v>6</v>
      </c>
      <c r="K71" s="45">
        <f>K53</f>
        <v>100</v>
      </c>
      <c r="L71" s="43">
        <f t="shared" ref="L71:P71" si="30">L53</f>
        <v>110</v>
      </c>
      <c r="M71" s="43">
        <f t="shared" si="30"/>
        <v>121.00000000000001</v>
      </c>
      <c r="N71" s="43">
        <f t="shared" si="30"/>
        <v>133.10000000000005</v>
      </c>
      <c r="O71" s="43">
        <f t="shared" si="30"/>
        <v>146.41000000000005</v>
      </c>
      <c r="P71" s="43">
        <f t="shared" si="30"/>
        <v>161.05100000000007</v>
      </c>
    </row>
    <row r="72" spans="1:16" x14ac:dyDescent="0.25">
      <c r="B72" s="14" t="s">
        <v>31</v>
      </c>
      <c r="K72" s="47">
        <f>K54</f>
        <v>0.04</v>
      </c>
      <c r="L72" s="46">
        <f t="shared" ref="L72:P72" si="31">L54</f>
        <v>0.04</v>
      </c>
      <c r="M72" s="46">
        <f t="shared" si="31"/>
        <v>0.04</v>
      </c>
      <c r="N72" s="46">
        <f t="shared" si="31"/>
        <v>0.04</v>
      </c>
      <c r="O72" s="46">
        <f t="shared" si="31"/>
        <v>0.04</v>
      </c>
      <c r="P72" s="46">
        <f t="shared" si="31"/>
        <v>0.04</v>
      </c>
    </row>
    <row r="73" spans="1:16" x14ac:dyDescent="0.25">
      <c r="K73" s="36"/>
    </row>
    <row r="74" spans="1:16" x14ac:dyDescent="0.25">
      <c r="B74" t="s">
        <v>50</v>
      </c>
      <c r="K74" s="45">
        <f>E14</f>
        <v>200</v>
      </c>
      <c r="L74" s="17">
        <f>L75*L38</f>
        <v>220</v>
      </c>
      <c r="M74" s="17">
        <f t="shared" ref="M74:P74" si="32">M75*M38</f>
        <v>242.00000000000003</v>
      </c>
      <c r="N74" s="17">
        <f t="shared" si="32"/>
        <v>266.2000000000001</v>
      </c>
      <c r="O74" s="17">
        <f t="shared" si="32"/>
        <v>292.82000000000011</v>
      </c>
      <c r="P74" s="17">
        <f t="shared" si="32"/>
        <v>322.10200000000015</v>
      </c>
    </row>
    <row r="75" spans="1:16" x14ac:dyDescent="0.25">
      <c r="B75" s="14" t="s">
        <v>31</v>
      </c>
      <c r="K75" s="37">
        <f>K74/K38</f>
        <v>0.08</v>
      </c>
      <c r="L75" s="46">
        <f>K75</f>
        <v>0.08</v>
      </c>
      <c r="M75" s="46">
        <f t="shared" ref="M75:P75" si="33">L75</f>
        <v>0.08</v>
      </c>
      <c r="N75" s="46">
        <f t="shared" si="33"/>
        <v>0.08</v>
      </c>
      <c r="O75" s="46">
        <f t="shared" si="33"/>
        <v>0.08</v>
      </c>
      <c r="P75" s="46">
        <f t="shared" si="33"/>
        <v>0.08</v>
      </c>
    </row>
    <row r="76" spans="1:16" x14ac:dyDescent="0.25">
      <c r="B76" t="s">
        <v>51</v>
      </c>
      <c r="K76" s="36"/>
      <c r="L76" s="16">
        <f>L74-K74</f>
        <v>20</v>
      </c>
      <c r="M76" s="16">
        <f t="shared" ref="M76:P76" si="34">M74-L74</f>
        <v>22.000000000000028</v>
      </c>
      <c r="N76" s="16">
        <f t="shared" si="34"/>
        <v>24.200000000000074</v>
      </c>
      <c r="O76" s="16">
        <f t="shared" si="34"/>
        <v>26.620000000000005</v>
      </c>
      <c r="P76" s="16">
        <f t="shared" si="34"/>
        <v>29.282000000000039</v>
      </c>
    </row>
    <row r="77" spans="1:16" x14ac:dyDescent="0.25">
      <c r="K77" s="36"/>
    </row>
    <row r="78" spans="1:16" x14ac:dyDescent="0.25">
      <c r="B78" t="s">
        <v>8</v>
      </c>
      <c r="K78" s="45">
        <f>E15</f>
        <v>150</v>
      </c>
      <c r="L78" s="17">
        <f>L79*L38</f>
        <v>165</v>
      </c>
      <c r="M78" s="17">
        <f t="shared" ref="M78:P78" si="35">M79*M38</f>
        <v>181.50000000000003</v>
      </c>
      <c r="N78" s="17">
        <f t="shared" si="35"/>
        <v>199.65000000000003</v>
      </c>
      <c r="O78" s="17">
        <f t="shared" si="35"/>
        <v>219.61500000000007</v>
      </c>
      <c r="P78" s="17">
        <f t="shared" si="35"/>
        <v>241.5765000000001</v>
      </c>
    </row>
    <row r="79" spans="1:16" x14ac:dyDescent="0.25">
      <c r="B79" s="14" t="s">
        <v>31</v>
      </c>
      <c r="K79" s="37">
        <f>K78/K38</f>
        <v>0.06</v>
      </c>
      <c r="L79" s="46">
        <f>K79</f>
        <v>0.06</v>
      </c>
      <c r="M79" s="46">
        <f t="shared" ref="M79:P79" si="36">L79</f>
        <v>0.06</v>
      </c>
      <c r="N79" s="46">
        <f t="shared" si="36"/>
        <v>0.06</v>
      </c>
      <c r="O79" s="46">
        <f t="shared" si="36"/>
        <v>0.06</v>
      </c>
      <c r="P79" s="46">
        <f t="shared" si="36"/>
        <v>0.06</v>
      </c>
    </row>
    <row r="80" spans="1:16" x14ac:dyDescent="0.25">
      <c r="K80" s="36"/>
    </row>
    <row r="81" spans="1:18" x14ac:dyDescent="0.25">
      <c r="A81" s="33" t="s">
        <v>12</v>
      </c>
      <c r="B81" s="6" t="s">
        <v>68</v>
      </c>
      <c r="C81" s="5"/>
      <c r="D81" s="5"/>
      <c r="E81" s="5"/>
      <c r="F81" s="5"/>
      <c r="G81" s="5"/>
      <c r="H81" s="5"/>
      <c r="I81" s="5"/>
      <c r="J81" s="5"/>
      <c r="K81" s="34">
        <v>0</v>
      </c>
      <c r="L81" s="15">
        <f>K81+1</f>
        <v>1</v>
      </c>
      <c r="M81" s="15">
        <f t="shared" ref="M81:P81" si="37">L81+1</f>
        <v>2</v>
      </c>
      <c r="N81" s="15">
        <f t="shared" si="37"/>
        <v>3</v>
      </c>
      <c r="O81" s="15">
        <f t="shared" si="37"/>
        <v>4</v>
      </c>
      <c r="P81" s="15">
        <f t="shared" si="37"/>
        <v>5</v>
      </c>
    </row>
    <row r="82" spans="1:18" x14ac:dyDescent="0.25">
      <c r="B82" t="s">
        <v>38</v>
      </c>
      <c r="K82" s="36"/>
      <c r="L82" s="43">
        <f>L67</f>
        <v>205.4</v>
      </c>
      <c r="M82" s="43">
        <f t="shared" ref="M82:P82" si="38">M67</f>
        <v>273.95620000000008</v>
      </c>
      <c r="N82" s="43">
        <f t="shared" si="38"/>
        <v>352.55830781000009</v>
      </c>
      <c r="O82" s="43">
        <f t="shared" si="38"/>
        <v>445.8113213111406</v>
      </c>
      <c r="P82" s="43">
        <f t="shared" si="38"/>
        <v>552.74232472554218</v>
      </c>
    </row>
    <row r="83" spans="1:18" x14ac:dyDescent="0.25">
      <c r="B83" t="s">
        <v>6</v>
      </c>
      <c r="K83" s="36"/>
      <c r="L83" s="43">
        <f>L71</f>
        <v>110</v>
      </c>
      <c r="M83" s="43">
        <f t="shared" ref="M83:P83" si="39">M71</f>
        <v>121.00000000000001</v>
      </c>
      <c r="N83" s="43">
        <f t="shared" si="39"/>
        <v>133.10000000000005</v>
      </c>
      <c r="O83" s="43">
        <f t="shared" si="39"/>
        <v>146.41000000000005</v>
      </c>
      <c r="P83" s="43">
        <f t="shared" si="39"/>
        <v>161.05100000000007</v>
      </c>
    </row>
    <row r="84" spans="1:18" x14ac:dyDescent="0.25">
      <c r="B84" t="s">
        <v>8</v>
      </c>
      <c r="K84" s="36"/>
      <c r="L84" s="43">
        <f>L78</f>
        <v>165</v>
      </c>
      <c r="M84" s="43">
        <f t="shared" ref="M84:P84" si="40">M78</f>
        <v>181.50000000000003</v>
      </c>
      <c r="N84" s="43">
        <f t="shared" si="40"/>
        <v>199.65000000000003</v>
      </c>
      <c r="O84" s="43">
        <f t="shared" si="40"/>
        <v>219.61500000000007</v>
      </c>
      <c r="P84" s="43">
        <f t="shared" si="40"/>
        <v>241.5765000000001</v>
      </c>
    </row>
    <row r="85" spans="1:18" x14ac:dyDescent="0.25">
      <c r="B85" t="s">
        <v>52</v>
      </c>
      <c r="K85" s="36"/>
      <c r="L85" s="43">
        <f>L76</f>
        <v>20</v>
      </c>
      <c r="M85" s="43">
        <f t="shared" ref="M85:P85" si="41">M76</f>
        <v>22.000000000000028</v>
      </c>
      <c r="N85" s="43">
        <f t="shared" si="41"/>
        <v>24.200000000000074</v>
      </c>
      <c r="O85" s="43">
        <f t="shared" si="41"/>
        <v>26.620000000000005</v>
      </c>
      <c r="P85" s="43">
        <f t="shared" si="41"/>
        <v>29.282000000000039</v>
      </c>
    </row>
    <row r="86" spans="1:18" x14ac:dyDescent="0.25">
      <c r="B86" s="61" t="s">
        <v>68</v>
      </c>
      <c r="C86" s="62"/>
      <c r="D86" s="62"/>
      <c r="E86" s="62"/>
      <c r="F86" s="62"/>
      <c r="G86" s="62"/>
      <c r="H86" s="62"/>
      <c r="I86" s="62"/>
      <c r="J86" s="62"/>
      <c r="K86" s="66"/>
      <c r="L86" s="63">
        <f>L82+L83-L84-L85</f>
        <v>130.39999999999998</v>
      </c>
      <c r="M86" s="63">
        <f t="shared" ref="M86:P86" si="42">M82+M83-M84-M85</f>
        <v>191.45620000000002</v>
      </c>
      <c r="N86" s="63">
        <f t="shared" si="42"/>
        <v>261.80830780999997</v>
      </c>
      <c r="O86" s="63">
        <f t="shared" si="42"/>
        <v>345.98632131114056</v>
      </c>
      <c r="P86" s="67">
        <f t="shared" si="42"/>
        <v>442.93482472554206</v>
      </c>
    </row>
    <row r="87" spans="1:18" x14ac:dyDescent="0.25">
      <c r="K87" s="36"/>
    </row>
    <row r="88" spans="1:18" ht="15.75" x14ac:dyDescent="0.25">
      <c r="A88" s="33" t="s">
        <v>12</v>
      </c>
      <c r="B88" s="4" t="s">
        <v>53</v>
      </c>
      <c r="C88" s="3"/>
      <c r="D88" s="3"/>
      <c r="E88" s="3"/>
      <c r="F88" s="3"/>
      <c r="G88" s="3"/>
      <c r="H88" s="3"/>
      <c r="I88" s="3"/>
      <c r="J88" s="3"/>
      <c r="K88" s="39"/>
      <c r="L88" s="3"/>
      <c r="M88" s="3"/>
      <c r="N88" s="3"/>
      <c r="O88" s="3"/>
      <c r="P88" s="3"/>
    </row>
    <row r="89" spans="1:18" ht="5.0999999999999996" customHeight="1" x14ac:dyDescent="0.25">
      <c r="K89" s="36"/>
    </row>
    <row r="90" spans="1:18" x14ac:dyDescent="0.25">
      <c r="B90" s="6"/>
      <c r="C90" s="5"/>
      <c r="D90" s="5"/>
      <c r="E90" s="5"/>
      <c r="F90" s="5"/>
      <c r="G90" s="5"/>
      <c r="H90" s="5"/>
      <c r="I90" s="5"/>
      <c r="J90" s="5"/>
      <c r="K90" s="34">
        <v>0</v>
      </c>
      <c r="L90" s="15">
        <f>K90+1</f>
        <v>1</v>
      </c>
      <c r="M90" s="15">
        <f t="shared" ref="M90:P90" si="43">L90+1</f>
        <v>2</v>
      </c>
      <c r="N90" s="15">
        <f t="shared" si="43"/>
        <v>3</v>
      </c>
      <c r="O90" s="15">
        <f t="shared" si="43"/>
        <v>4</v>
      </c>
      <c r="P90" s="15">
        <f t="shared" si="43"/>
        <v>5</v>
      </c>
    </row>
    <row r="91" spans="1:18" x14ac:dyDescent="0.25">
      <c r="B91" s="7" t="s">
        <v>23</v>
      </c>
      <c r="K91" s="36"/>
    </row>
    <row r="92" spans="1:18" x14ac:dyDescent="0.25">
      <c r="B92" s="29" t="s">
        <v>54</v>
      </c>
      <c r="K92" s="36"/>
      <c r="L92" s="43">
        <f>K95</f>
        <v>300</v>
      </c>
      <c r="M92" s="43">
        <f t="shared" ref="M92:P92" si="44">L95</f>
        <v>169.60000000000002</v>
      </c>
      <c r="N92" s="43">
        <f t="shared" si="44"/>
        <v>0</v>
      </c>
      <c r="O92" s="43">
        <f t="shared" si="44"/>
        <v>0</v>
      </c>
      <c r="P92" s="43">
        <f t="shared" si="44"/>
        <v>0</v>
      </c>
    </row>
    <row r="93" spans="1:18" x14ac:dyDescent="0.25">
      <c r="B93" s="29" t="s">
        <v>27</v>
      </c>
      <c r="K93" s="36"/>
      <c r="L93" s="17">
        <f>L92*$P$9</f>
        <v>22.5</v>
      </c>
      <c r="M93" s="17">
        <f t="shared" ref="M93:P93" si="45">M92*$P$9</f>
        <v>12.72</v>
      </c>
      <c r="N93" s="17">
        <f t="shared" si="45"/>
        <v>0</v>
      </c>
      <c r="O93" s="17">
        <f t="shared" si="45"/>
        <v>0</v>
      </c>
      <c r="P93" s="17">
        <f t="shared" si="45"/>
        <v>0</v>
      </c>
    </row>
    <row r="94" spans="1:18" x14ac:dyDescent="0.25">
      <c r="B94" s="31" t="s">
        <v>55</v>
      </c>
      <c r="C94" s="1"/>
      <c r="D94" s="1"/>
      <c r="E94" s="1"/>
      <c r="F94" s="1"/>
      <c r="G94" s="1"/>
      <c r="H94" s="1"/>
      <c r="I94" s="1"/>
      <c r="J94" s="1"/>
      <c r="K94" s="40"/>
      <c r="L94" s="22">
        <f>MIN(L86,L92)</f>
        <v>130.39999999999998</v>
      </c>
      <c r="M94" s="22">
        <f t="shared" ref="M94:P94" si="46">MIN(M86,M92)</f>
        <v>169.60000000000002</v>
      </c>
      <c r="N94" s="22">
        <f t="shared" si="46"/>
        <v>0</v>
      </c>
      <c r="O94" s="22">
        <f t="shared" si="46"/>
        <v>0</v>
      </c>
      <c r="P94" s="22">
        <f t="shared" si="46"/>
        <v>0</v>
      </c>
    </row>
    <row r="95" spans="1:18" x14ac:dyDescent="0.25">
      <c r="B95" s="30" t="s">
        <v>56</v>
      </c>
      <c r="K95" s="48">
        <f>O9</f>
        <v>300</v>
      </c>
      <c r="L95" s="19">
        <f>L92-L94</f>
        <v>169.60000000000002</v>
      </c>
      <c r="M95" s="19">
        <f t="shared" ref="M95:P95" si="47">M92-M94</f>
        <v>0</v>
      </c>
      <c r="N95" s="19">
        <f t="shared" si="47"/>
        <v>0</v>
      </c>
      <c r="O95" s="19">
        <f t="shared" si="47"/>
        <v>0</v>
      </c>
      <c r="P95" s="19">
        <f t="shared" si="47"/>
        <v>0</v>
      </c>
      <c r="R95" s="19"/>
    </row>
    <row r="96" spans="1:18" x14ac:dyDescent="0.25">
      <c r="K96" s="36"/>
    </row>
    <row r="97" spans="2:16" x14ac:dyDescent="0.25">
      <c r="B97" s="7" t="s">
        <v>57</v>
      </c>
      <c r="K97" s="36"/>
    </row>
    <row r="98" spans="2:16" x14ac:dyDescent="0.25">
      <c r="B98" s="29" t="s">
        <v>54</v>
      </c>
      <c r="K98" s="36"/>
      <c r="L98" s="43">
        <f>K101</f>
        <v>2500</v>
      </c>
      <c r="M98" s="43">
        <f t="shared" ref="M98:P98" si="48">L101</f>
        <v>2500</v>
      </c>
      <c r="N98" s="43">
        <f t="shared" si="48"/>
        <v>2478.1437999999998</v>
      </c>
      <c r="O98" s="43">
        <f t="shared" si="48"/>
        <v>2216.33549219</v>
      </c>
      <c r="P98" s="43">
        <f t="shared" si="48"/>
        <v>1870.3491708788595</v>
      </c>
    </row>
    <row r="99" spans="2:16" x14ac:dyDescent="0.25">
      <c r="B99" s="29" t="s">
        <v>27</v>
      </c>
      <c r="K99" s="36"/>
      <c r="L99" s="17">
        <f>L98*$P$10</f>
        <v>237.5</v>
      </c>
      <c r="M99" s="17">
        <f t="shared" ref="M99:P99" si="49">M98*$P$10</f>
        <v>237.5</v>
      </c>
      <c r="N99" s="17">
        <f t="shared" si="49"/>
        <v>235.42366099999998</v>
      </c>
      <c r="O99" s="17">
        <f t="shared" si="49"/>
        <v>210.55187175805</v>
      </c>
      <c r="P99" s="17">
        <f t="shared" si="49"/>
        <v>177.68317123349166</v>
      </c>
    </row>
    <row r="100" spans="2:16" x14ac:dyDescent="0.25">
      <c r="B100" s="31" t="s">
        <v>55</v>
      </c>
      <c r="C100" s="1"/>
      <c r="D100" s="1"/>
      <c r="E100" s="1"/>
      <c r="F100" s="1"/>
      <c r="G100" s="1"/>
      <c r="H100" s="1"/>
      <c r="I100" s="1"/>
      <c r="J100" s="1"/>
      <c r="K100" s="40"/>
      <c r="L100" s="22">
        <f>MIN(L98,L86-L94)</f>
        <v>0</v>
      </c>
      <c r="M100" s="22">
        <f t="shared" ref="M100:P100" si="50">MIN(M98,M86-M94)</f>
        <v>21.856200000000001</v>
      </c>
      <c r="N100" s="22">
        <f t="shared" si="50"/>
        <v>261.80830780999997</v>
      </c>
      <c r="O100" s="22">
        <f t="shared" si="50"/>
        <v>345.98632131114056</v>
      </c>
      <c r="P100" s="22">
        <f t="shared" si="50"/>
        <v>442.93482472554206</v>
      </c>
    </row>
    <row r="101" spans="2:16" x14ac:dyDescent="0.25">
      <c r="B101" s="30" t="s">
        <v>56</v>
      </c>
      <c r="K101" s="48">
        <f>O10</f>
        <v>2500</v>
      </c>
      <c r="L101" s="19">
        <f>L98-L100</f>
        <v>2500</v>
      </c>
      <c r="M101" s="19">
        <f t="shared" ref="M101" si="51">M98-M100</f>
        <v>2478.1437999999998</v>
      </c>
      <c r="N101" s="19">
        <f t="shared" ref="N101" si="52">N98-N100</f>
        <v>2216.33549219</v>
      </c>
      <c r="O101" s="19">
        <f t="shared" ref="O101" si="53">O98-O100</f>
        <v>1870.3491708788595</v>
      </c>
      <c r="P101" s="19">
        <f t="shared" ref="P101" si="54">P98-P100</f>
        <v>1427.4143461533174</v>
      </c>
    </row>
    <row r="102" spans="2:16" x14ac:dyDescent="0.25">
      <c r="K102" s="36"/>
    </row>
    <row r="103" spans="2:16" x14ac:dyDescent="0.25">
      <c r="B103" s="7" t="s">
        <v>25</v>
      </c>
      <c r="K103" s="36"/>
    </row>
    <row r="104" spans="2:16" x14ac:dyDescent="0.25">
      <c r="B104" s="29" t="s">
        <v>54</v>
      </c>
      <c r="K104" s="36"/>
      <c r="L104" s="43">
        <f>K107</f>
        <v>2000</v>
      </c>
      <c r="M104" s="43">
        <f t="shared" ref="M104:P104" si="55">L107</f>
        <v>2000</v>
      </c>
      <c r="N104" s="43">
        <f t="shared" si="55"/>
        <v>2000</v>
      </c>
      <c r="O104" s="43">
        <f t="shared" si="55"/>
        <v>2000</v>
      </c>
      <c r="P104" s="43">
        <f t="shared" si="55"/>
        <v>2000</v>
      </c>
    </row>
    <row r="105" spans="2:16" x14ac:dyDescent="0.25">
      <c r="B105" s="29" t="s">
        <v>27</v>
      </c>
      <c r="K105" s="36"/>
      <c r="L105" s="17">
        <f>L104*$P$11</f>
        <v>250</v>
      </c>
      <c r="M105" s="17">
        <f t="shared" ref="M105:P105" si="56">M104*$P$11</f>
        <v>250</v>
      </c>
      <c r="N105" s="17">
        <f t="shared" si="56"/>
        <v>250</v>
      </c>
      <c r="O105" s="17">
        <f t="shared" si="56"/>
        <v>250</v>
      </c>
      <c r="P105" s="17">
        <f t="shared" si="56"/>
        <v>250</v>
      </c>
    </row>
    <row r="106" spans="2:16" x14ac:dyDescent="0.25">
      <c r="B106" s="31" t="s">
        <v>55</v>
      </c>
      <c r="C106" s="1"/>
      <c r="D106" s="1"/>
      <c r="E106" s="1"/>
      <c r="F106" s="1"/>
      <c r="G106" s="1"/>
      <c r="H106" s="1"/>
      <c r="I106" s="1"/>
      <c r="J106" s="1"/>
      <c r="K106" s="40"/>
      <c r="L106" s="22">
        <f>MIN(L104,L86-L94-L100)</f>
        <v>0</v>
      </c>
      <c r="M106" s="22">
        <f t="shared" ref="M106:P106" si="57">MIN(M104,M86-M94-M100)</f>
        <v>0</v>
      </c>
      <c r="N106" s="22">
        <f t="shared" si="57"/>
        <v>0</v>
      </c>
      <c r="O106" s="22">
        <f t="shared" si="57"/>
        <v>0</v>
      </c>
      <c r="P106" s="22">
        <f t="shared" si="57"/>
        <v>0</v>
      </c>
    </row>
    <row r="107" spans="2:16" x14ac:dyDescent="0.25">
      <c r="B107" s="30" t="s">
        <v>56</v>
      </c>
      <c r="K107" s="48">
        <f>O11</f>
        <v>2000</v>
      </c>
      <c r="L107" s="19">
        <f>L104-L106</f>
        <v>2000</v>
      </c>
      <c r="M107" s="19">
        <f t="shared" ref="M107:P107" si="58">M104-M106</f>
        <v>2000</v>
      </c>
      <c r="N107" s="19">
        <f t="shared" si="58"/>
        <v>2000</v>
      </c>
      <c r="O107" s="19">
        <f t="shared" si="58"/>
        <v>2000</v>
      </c>
      <c r="P107" s="19">
        <f t="shared" si="58"/>
        <v>2000</v>
      </c>
    </row>
    <row r="108" spans="2:16" x14ac:dyDescent="0.25">
      <c r="K108" s="36"/>
    </row>
    <row r="109" spans="2:16" x14ac:dyDescent="0.25">
      <c r="B109" s="7" t="s">
        <v>58</v>
      </c>
      <c r="K109" s="36"/>
    </row>
    <row r="110" spans="2:16" x14ac:dyDescent="0.25">
      <c r="B110" s="29" t="s">
        <v>54</v>
      </c>
      <c r="K110" s="36"/>
      <c r="L110" s="16">
        <f>L92+L98+L104</f>
        <v>4800</v>
      </c>
      <c r="M110" s="16">
        <f t="shared" ref="M110:P110" si="59">M92+M98+M104</f>
        <v>4669.6000000000004</v>
      </c>
      <c r="N110" s="16">
        <f t="shared" si="59"/>
        <v>4478.1437999999998</v>
      </c>
      <c r="O110" s="16">
        <f t="shared" si="59"/>
        <v>4216.33549219</v>
      </c>
      <c r="P110" s="16">
        <f t="shared" si="59"/>
        <v>3870.3491708788597</v>
      </c>
    </row>
    <row r="111" spans="2:16" x14ac:dyDescent="0.25">
      <c r="B111" s="29" t="s">
        <v>27</v>
      </c>
      <c r="K111" s="36"/>
      <c r="L111" s="16">
        <f t="shared" ref="L111:P113" si="60">L93+L99+L105</f>
        <v>510</v>
      </c>
      <c r="M111" s="16">
        <f t="shared" si="60"/>
        <v>500.22</v>
      </c>
      <c r="N111" s="16">
        <f t="shared" si="60"/>
        <v>485.42366099999998</v>
      </c>
      <c r="O111" s="16">
        <f t="shared" si="60"/>
        <v>460.55187175804997</v>
      </c>
      <c r="P111" s="16">
        <f t="shared" si="60"/>
        <v>427.68317123349163</v>
      </c>
    </row>
    <row r="112" spans="2:16" x14ac:dyDescent="0.25">
      <c r="B112" s="31" t="s">
        <v>55</v>
      </c>
      <c r="C112" s="1"/>
      <c r="D112" s="1"/>
      <c r="E112" s="1"/>
      <c r="F112" s="1"/>
      <c r="G112" s="1"/>
      <c r="H112" s="1"/>
      <c r="I112" s="1"/>
      <c r="J112" s="1"/>
      <c r="K112" s="40"/>
      <c r="L112" s="22">
        <f t="shared" si="60"/>
        <v>130.39999999999998</v>
      </c>
      <c r="M112" s="22">
        <f t="shared" si="60"/>
        <v>191.45620000000002</v>
      </c>
      <c r="N112" s="22">
        <f t="shared" si="60"/>
        <v>261.80830780999997</v>
      </c>
      <c r="O112" s="22">
        <f t="shared" si="60"/>
        <v>345.98632131114056</v>
      </c>
      <c r="P112" s="22">
        <f t="shared" si="60"/>
        <v>442.93482472554206</v>
      </c>
    </row>
    <row r="113" spans="1:16" x14ac:dyDescent="0.25">
      <c r="B113" s="30" t="s">
        <v>56</v>
      </c>
      <c r="C113" s="7"/>
      <c r="D113" s="7"/>
      <c r="E113" s="7"/>
      <c r="F113" s="7"/>
      <c r="G113" s="7"/>
      <c r="H113" s="7"/>
      <c r="I113" s="7"/>
      <c r="J113" s="7"/>
      <c r="K113" s="41">
        <f>K95+K101+K107</f>
        <v>4800</v>
      </c>
      <c r="L113" s="19">
        <f t="shared" si="60"/>
        <v>4669.6000000000004</v>
      </c>
      <c r="M113" s="19">
        <f t="shared" si="60"/>
        <v>4478.1437999999998</v>
      </c>
      <c r="N113" s="19">
        <f t="shared" si="60"/>
        <v>4216.33549219</v>
      </c>
      <c r="O113" s="19">
        <f t="shared" si="60"/>
        <v>3870.3491708788597</v>
      </c>
      <c r="P113" s="19">
        <f t="shared" si="60"/>
        <v>3427.4143461533176</v>
      </c>
    </row>
    <row r="115" spans="1:16" ht="15.75" x14ac:dyDescent="0.25">
      <c r="A115" s="33" t="s">
        <v>12</v>
      </c>
      <c r="B115" s="4" t="s">
        <v>59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5.0999999999999996" customHeight="1" x14ac:dyDescent="0.25">
      <c r="B116" s="25"/>
    </row>
    <row r="117" spans="1:16" x14ac:dyDescent="0.25">
      <c r="B117" t="s">
        <v>60</v>
      </c>
      <c r="P117" s="43">
        <f>P56</f>
        <v>1288.4080000000008</v>
      </c>
    </row>
    <row r="118" spans="1:16" x14ac:dyDescent="0.25">
      <c r="B118" s="1" t="s">
        <v>21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49">
        <f>J18</f>
        <v>9.5</v>
      </c>
    </row>
    <row r="119" spans="1:16" x14ac:dyDescent="0.25">
      <c r="B119" t="s">
        <v>15</v>
      </c>
      <c r="P119" s="16">
        <f>P117*P118</f>
        <v>12239.876000000007</v>
      </c>
    </row>
    <row r="120" spans="1:16" x14ac:dyDescent="0.25">
      <c r="B120" t="s">
        <v>61</v>
      </c>
      <c r="P120" s="16">
        <f>P113</f>
        <v>3427.4143461533176</v>
      </c>
    </row>
    <row r="121" spans="1:16" x14ac:dyDescent="0.25">
      <c r="B121" s="61" t="s">
        <v>62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7">
        <f>P119-P120</f>
        <v>8812.4616538466908</v>
      </c>
    </row>
    <row r="123" spans="1:16" x14ac:dyDescent="0.25">
      <c r="B123" t="s">
        <v>63</v>
      </c>
      <c r="P123" s="16">
        <f>E30</f>
        <v>2900</v>
      </c>
    </row>
    <row r="125" spans="1:16" x14ac:dyDescent="0.25">
      <c r="B125" s="68" t="s">
        <v>64</v>
      </c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>
        <f>P121/P123</f>
        <v>3.0387798806367901</v>
      </c>
    </row>
    <row r="126" spans="1:16" x14ac:dyDescent="0.25">
      <c r="A126" s="33" t="s">
        <v>12</v>
      </c>
      <c r="B126" s="58" t="s">
        <v>59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71">
        <f>P125^(1/5)-1</f>
        <v>0.24893503472547418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Cole</dc:creator>
  <cp:lastModifiedBy>Daniel Cole</cp:lastModifiedBy>
  <dcterms:created xsi:type="dcterms:W3CDTF">2024-06-13T22:17:00Z</dcterms:created>
  <dcterms:modified xsi:type="dcterms:W3CDTF">2024-10-13T23:40:55Z</dcterms:modified>
</cp:coreProperties>
</file>